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am2-my.sharepoint.com/personal/21927782_ifam2_onmicrosoft_com/Documents/IFAM/PROJETO BASICO/CAMPUS MANICORÉ/MEMORIAS DE CALCULO/MEMORIAS ANEXO E GERAL/"/>
    </mc:Choice>
  </mc:AlternateContent>
  <xr:revisionPtr revIDLastSave="1" documentId="8_{938ADBF3-E8C6-4689-86DB-BF22AAC0B548}" xr6:coauthVersionLast="36" xr6:coauthVersionMax="36" xr10:uidLastSave="{CFD18932-969D-49E0-B586-F8469BC52A8F}"/>
  <bookViews>
    <workbookView xWindow="0" yWindow="0" windowWidth="14010" windowHeight="11910" tabRatio="675" firstSheet="3" activeTab="3" xr2:uid="{00000000-000D-0000-FFFF-FFFF00000000}"/>
  </bookViews>
  <sheets>
    <sheet name="002.Orçamento Analítico" sheetId="13" state="hidden" r:id="rId1"/>
    <sheet name="004. Cronograma Físico-Financ." sheetId="14" state="hidden" r:id="rId2"/>
    <sheet name="003. Composições Unit. novas" sheetId="15" state="hidden" r:id="rId3"/>
    <sheet name="MEMÓRIA" sheetId="3" r:id="rId4"/>
    <sheet name="RESUMO.REVEST" sheetId="18" r:id="rId5"/>
    <sheet name="RESUMO.ALV." sheetId="19" r:id="rId6"/>
    <sheet name="RESUMO.ESTR." sheetId="22" r:id="rId7"/>
    <sheet name="Planilha1" sheetId="17" r:id="rId8"/>
    <sheet name="CPU " sheetId="12" state="hidden" r:id="rId9"/>
    <sheet name="ANEXO 1" sheetId="9" state="hidden" r:id="rId10"/>
    <sheet name="ANEXO 3." sheetId="10" state="hidden" r:id="rId11"/>
    <sheet name="ANEXO 4" sheetId="11" state="hidden" r:id="rId12"/>
    <sheet name="Composições Novas" sheetId="4" state="hidden" r:id="rId13"/>
  </sheets>
  <externalReferences>
    <externalReference r:id="rId14"/>
  </externalReferences>
  <definedNames>
    <definedName name="_xlnm.Print_Area" localSheetId="0">'002.Orçamento Analítico'!$D$1:$L$187</definedName>
    <definedName name="_xlnm.Print_Area" localSheetId="2">'003. Composições Unit. novas'!$B$1:$H$201</definedName>
    <definedName name="_xlnm.Print_Area" localSheetId="1">'004. Cronograma Físico-Financ.'!$B$1:$V$79</definedName>
    <definedName name="_xlnm.Print_Area" localSheetId="9">'ANEXO 1'!$B$1:$F$46</definedName>
    <definedName name="_xlnm.Print_Area" localSheetId="10">'ANEXO 3.'!$A$1:$F$25</definedName>
    <definedName name="_xlnm.Print_Area" localSheetId="11">'ANEXO 4'!$B$1:$I$69</definedName>
    <definedName name="_xlnm.Print_Area" localSheetId="3">MEMÓRIA!$B$1:$I$273</definedName>
    <definedName name="_xlnm.Print_Area" localSheetId="5">'RESUMO.ALV.'!$B$1:$G$31</definedName>
    <definedName name="_xlnm.Print_Area" localSheetId="6">'RESUMO.ESTR.'!$B$1:$I$91</definedName>
    <definedName name="_xlnm.Print_Area" localSheetId="4">'RESUMO.REVEST'!$B$1:$F$31</definedName>
    <definedName name="_xlnm.Print_Titles" localSheetId="0">'002.Orçamento Analítico'!$2:$9</definedName>
    <definedName name="_xlnm.Print_Titles" localSheetId="2">'003. Composições Unit. novas'!$2:$9</definedName>
    <definedName name="_xlnm.Print_Titles" localSheetId="1">'004. Cronograma Físico-Financ.'!$1:$10</definedName>
    <definedName name="_xlnm.Print_Titles" localSheetId="3">MEMÓRIA!$1:$12</definedName>
    <definedName name="_xlnm.Print_Titles" localSheetId="6">'RESUMO.ESTR.'!$1:$15</definedName>
  </definedNames>
  <calcPr calcId="191029"/>
</workbook>
</file>

<file path=xl/calcChain.xml><?xml version="1.0" encoding="utf-8"?>
<calcChain xmlns="http://schemas.openxmlformats.org/spreadsheetml/2006/main">
  <c r="H150" i="3" l="1"/>
  <c r="H149" i="3"/>
  <c r="H201" i="3" l="1"/>
  <c r="H196" i="3"/>
  <c r="H235" i="3" l="1"/>
  <c r="H229" i="3"/>
  <c r="H161" i="3"/>
  <c r="H230" i="3" l="1"/>
  <c r="H134" i="3" l="1"/>
  <c r="H133" i="3"/>
  <c r="H132" i="3"/>
  <c r="H131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99" i="3"/>
  <c r="H98" i="3"/>
  <c r="H97" i="3"/>
  <c r="H96" i="3"/>
  <c r="H95" i="3"/>
  <c r="H94" i="3"/>
  <c r="H93" i="3"/>
  <c r="H92" i="3"/>
  <c r="H91" i="3"/>
  <c r="H89" i="3"/>
  <c r="H88" i="3"/>
  <c r="H87" i="3"/>
  <c r="H86" i="3"/>
  <c r="H82" i="3"/>
  <c r="H83" i="3"/>
  <c r="H81" i="3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N30" i="22"/>
  <c r="N29" i="22"/>
  <c r="H168" i="3" l="1"/>
  <c r="H167" i="3"/>
  <c r="H169" i="3" s="1"/>
  <c r="H166" i="3"/>
  <c r="H170" i="3" s="1"/>
  <c r="N93" i="3" l="1"/>
  <c r="N94" i="3" s="1"/>
  <c r="H148" i="3" l="1"/>
  <c r="H147" i="3"/>
  <c r="H146" i="3"/>
  <c r="H145" i="3"/>
  <c r="H144" i="3"/>
  <c r="H143" i="3"/>
  <c r="H142" i="3"/>
  <c r="H141" i="3"/>
  <c r="H140" i="3"/>
  <c r="H139" i="3"/>
  <c r="H138" i="3"/>
  <c r="H137" i="3"/>
  <c r="H136" i="3"/>
  <c r="H163" i="3" l="1"/>
  <c r="H162" i="3"/>
  <c r="H160" i="3"/>
  <c r="H159" i="3"/>
  <c r="H158" i="3"/>
  <c r="H157" i="3"/>
  <c r="H156" i="3"/>
  <c r="H155" i="3"/>
  <c r="H154" i="3"/>
  <c r="H153" i="3"/>
  <c r="H152" i="3"/>
  <c r="H65" i="3" l="1"/>
  <c r="H174" i="3" l="1"/>
  <c r="H173" i="3"/>
  <c r="H172" i="3"/>
  <c r="J11" i="17" l="1"/>
  <c r="R11" i="17"/>
  <c r="J12" i="17"/>
  <c r="R12" i="17"/>
  <c r="J13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9" i="17" s="1"/>
  <c r="J238" i="3" l="1"/>
  <c r="H54" i="3" l="1"/>
  <c r="H45" i="3"/>
  <c r="H53" i="3"/>
  <c r="H46" i="3" l="1"/>
  <c r="J46" i="3"/>
  <c r="J36" i="3" l="1"/>
  <c r="J39" i="3" s="1"/>
  <c r="H32" i="3"/>
  <c r="K18" i="3"/>
  <c r="K20" i="3" s="1"/>
  <c r="I109" i="13" l="1"/>
  <c r="K175" i="13" l="1"/>
  <c r="K107" i="13"/>
  <c r="E40" i="13"/>
  <c r="E138" i="13"/>
  <c r="F138" i="13"/>
  <c r="H138" i="13"/>
  <c r="I138" i="13"/>
  <c r="K138" i="13" s="1"/>
  <c r="E139" i="13"/>
  <c r="F139" i="13"/>
  <c r="H139" i="13"/>
  <c r="I139" i="13"/>
  <c r="K139" i="13" s="1"/>
  <c r="E140" i="13"/>
  <c r="F140" i="13"/>
  <c r="H140" i="13"/>
  <c r="I140" i="13"/>
  <c r="K140" i="13" s="1"/>
  <c r="E141" i="13"/>
  <c r="F141" i="13"/>
  <c r="H141" i="13"/>
  <c r="I141" i="13"/>
  <c r="K141" i="13" s="1"/>
  <c r="E142" i="13"/>
  <c r="F142" i="13"/>
  <c r="H142" i="13"/>
  <c r="I142" i="13"/>
  <c r="K142" i="13" s="1"/>
  <c r="I137" i="13"/>
  <c r="K137" i="13" s="1"/>
  <c r="H137" i="13"/>
  <c r="F137" i="13"/>
  <c r="E137" i="13"/>
  <c r="K136" i="13" l="1"/>
  <c r="K135" i="13" s="1"/>
  <c r="E184" i="13" l="1"/>
  <c r="F184" i="13"/>
  <c r="H184" i="13"/>
  <c r="E185" i="13"/>
  <c r="F185" i="13"/>
  <c r="H185" i="13"/>
  <c r="I185" i="13"/>
  <c r="H183" i="13"/>
  <c r="F183" i="13"/>
  <c r="E183" i="13"/>
  <c r="I182" i="13"/>
  <c r="H182" i="13"/>
  <c r="F182" i="13"/>
  <c r="E182" i="13"/>
  <c r="H181" i="13"/>
  <c r="F181" i="13"/>
  <c r="E181" i="13"/>
  <c r="H180" i="13"/>
  <c r="F180" i="13"/>
  <c r="E180" i="13"/>
  <c r="E178" i="13" l="1"/>
  <c r="F178" i="13"/>
  <c r="H178" i="13"/>
  <c r="I178" i="13"/>
  <c r="I177" i="13"/>
  <c r="H177" i="13"/>
  <c r="F177" i="13"/>
  <c r="E177" i="13"/>
  <c r="I176" i="13"/>
  <c r="H176" i="13"/>
  <c r="F176" i="13"/>
  <c r="E176" i="13"/>
  <c r="E170" i="13"/>
  <c r="F170" i="13"/>
  <c r="H170" i="13"/>
  <c r="I170" i="13"/>
  <c r="K170" i="13" s="1"/>
  <c r="E171" i="13"/>
  <c r="F171" i="13"/>
  <c r="H171" i="13"/>
  <c r="I171" i="13"/>
  <c r="K171" i="13" s="1"/>
  <c r="E172" i="13"/>
  <c r="F172" i="13"/>
  <c r="H172" i="13"/>
  <c r="I172" i="13"/>
  <c r="K172" i="13" s="1"/>
  <c r="I169" i="13"/>
  <c r="K169" i="13" s="1"/>
  <c r="H169" i="13"/>
  <c r="F169" i="13"/>
  <c r="E169" i="13"/>
  <c r="I166" i="13"/>
  <c r="K166" i="13" s="1"/>
  <c r="H166" i="13"/>
  <c r="F166" i="13"/>
  <c r="E166" i="13"/>
  <c r="E165" i="13"/>
  <c r="F165" i="13"/>
  <c r="H165" i="13"/>
  <c r="E164" i="13"/>
  <c r="F164" i="13"/>
  <c r="H164" i="13"/>
  <c r="I164" i="13"/>
  <c r="K164" i="13" s="1"/>
  <c r="I163" i="13"/>
  <c r="K163" i="13" s="1"/>
  <c r="H163" i="13"/>
  <c r="F163" i="13"/>
  <c r="E163" i="13"/>
  <c r="E162" i="13"/>
  <c r="F162" i="13"/>
  <c r="H162" i="13"/>
  <c r="I161" i="13"/>
  <c r="K161" i="13" s="1"/>
  <c r="H161" i="13"/>
  <c r="F161" i="13"/>
  <c r="E161" i="13"/>
  <c r="E160" i="13"/>
  <c r="F160" i="13"/>
  <c r="H160" i="13"/>
  <c r="I160" i="13"/>
  <c r="K160" i="13" s="1"/>
  <c r="E159" i="13"/>
  <c r="F159" i="13"/>
  <c r="H159" i="13"/>
  <c r="I159" i="13"/>
  <c r="K159" i="13" s="1"/>
  <c r="I158" i="13"/>
  <c r="K158" i="13" s="1"/>
  <c r="H158" i="13"/>
  <c r="F158" i="13"/>
  <c r="E158" i="13"/>
  <c r="I157" i="13"/>
  <c r="K157" i="13" s="1"/>
  <c r="H157" i="13"/>
  <c r="F157" i="13"/>
  <c r="E157" i="13"/>
  <c r="I156" i="13"/>
  <c r="K156" i="13" s="1"/>
  <c r="H156" i="13"/>
  <c r="F156" i="13"/>
  <c r="E156" i="13"/>
  <c r="H155" i="13"/>
  <c r="F155" i="13"/>
  <c r="E155" i="13"/>
  <c r="E154" i="13"/>
  <c r="F154" i="13"/>
  <c r="H154" i="13"/>
  <c r="I154" i="13"/>
  <c r="K154" i="13" s="1"/>
  <c r="I153" i="13"/>
  <c r="K153" i="13" s="1"/>
  <c r="H153" i="13"/>
  <c r="F153" i="13"/>
  <c r="E153" i="13"/>
  <c r="E152" i="13"/>
  <c r="F152" i="13"/>
  <c r="H152" i="13"/>
  <c r="I152" i="13"/>
  <c r="K152" i="13" s="1"/>
  <c r="I151" i="13"/>
  <c r="K151" i="13" s="1"/>
  <c r="H151" i="13"/>
  <c r="F151" i="13"/>
  <c r="E151" i="13"/>
  <c r="E145" i="13"/>
  <c r="F145" i="13"/>
  <c r="H145" i="13"/>
  <c r="I145" i="13"/>
  <c r="K145" i="13" s="1"/>
  <c r="E146" i="13"/>
  <c r="F146" i="13"/>
  <c r="H146" i="13"/>
  <c r="I146" i="13"/>
  <c r="K146" i="13" s="1"/>
  <c r="E147" i="13"/>
  <c r="F147" i="13"/>
  <c r="H147" i="13"/>
  <c r="I147" i="13"/>
  <c r="K147" i="13" s="1"/>
  <c r="E148" i="13"/>
  <c r="F148" i="13"/>
  <c r="H148" i="13"/>
  <c r="I148" i="13"/>
  <c r="K148" i="13" s="1"/>
  <c r="E149" i="13"/>
  <c r="F149" i="13"/>
  <c r="H149" i="13"/>
  <c r="I149" i="13"/>
  <c r="K149" i="13" s="1"/>
  <c r="E150" i="13"/>
  <c r="F150" i="13"/>
  <c r="H150" i="13"/>
  <c r="I150" i="13"/>
  <c r="K150" i="13" s="1"/>
  <c r="I144" i="13"/>
  <c r="K144" i="13" s="1"/>
  <c r="H144" i="13"/>
  <c r="F144" i="13"/>
  <c r="E144" i="13"/>
  <c r="E134" i="13"/>
  <c r="F134" i="13"/>
  <c r="H134" i="13"/>
  <c r="I133" i="13"/>
  <c r="K133" i="13" s="1"/>
  <c r="H133" i="13"/>
  <c r="F133" i="13"/>
  <c r="E133" i="13"/>
  <c r="E131" i="13"/>
  <c r="F131" i="13"/>
  <c r="H131" i="13"/>
  <c r="E132" i="13"/>
  <c r="F132" i="13"/>
  <c r="H132" i="13"/>
  <c r="E130" i="13"/>
  <c r="F130" i="13"/>
  <c r="H130" i="13"/>
  <c r="H129" i="13"/>
  <c r="F129" i="13"/>
  <c r="E129" i="13"/>
  <c r="H128" i="13"/>
  <c r="F128" i="13"/>
  <c r="E128" i="13"/>
  <c r="H126" i="13"/>
  <c r="F126" i="13"/>
  <c r="E126" i="13"/>
  <c r="H125" i="13"/>
  <c r="F125" i="13"/>
  <c r="E125" i="13"/>
  <c r="H124" i="13"/>
  <c r="F124" i="13"/>
  <c r="E124" i="13"/>
  <c r="H123" i="13"/>
  <c r="F123" i="13"/>
  <c r="E123" i="13"/>
  <c r="I121" i="13"/>
  <c r="H121" i="13"/>
  <c r="F121" i="13"/>
  <c r="E121" i="13"/>
  <c r="E119" i="13"/>
  <c r="F119" i="13"/>
  <c r="H119" i="13"/>
  <c r="H118" i="13"/>
  <c r="F118" i="13"/>
  <c r="E118" i="13"/>
  <c r="E109" i="13"/>
  <c r="F109" i="13"/>
  <c r="H109" i="13"/>
  <c r="E110" i="13"/>
  <c r="F110" i="13"/>
  <c r="H110" i="13"/>
  <c r="E111" i="13"/>
  <c r="F111" i="13"/>
  <c r="H111" i="13"/>
  <c r="E112" i="13"/>
  <c r="F112" i="13"/>
  <c r="H112" i="13"/>
  <c r="E113" i="13"/>
  <c r="F113" i="13"/>
  <c r="H113" i="13"/>
  <c r="E114" i="13"/>
  <c r="F114" i="13"/>
  <c r="H114" i="13"/>
  <c r="E115" i="13"/>
  <c r="F115" i="13"/>
  <c r="H115" i="13"/>
  <c r="H108" i="13"/>
  <c r="F108" i="13"/>
  <c r="E108" i="13"/>
  <c r="E106" i="13"/>
  <c r="F106" i="13"/>
  <c r="H106" i="13"/>
  <c r="I105" i="13"/>
  <c r="H105" i="13"/>
  <c r="F105" i="13"/>
  <c r="E105" i="13"/>
  <c r="E103" i="13"/>
  <c r="F103" i="13"/>
  <c r="H103" i="13"/>
  <c r="H102" i="13"/>
  <c r="F102" i="13"/>
  <c r="E102" i="13"/>
  <c r="I100" i="13"/>
  <c r="K100" i="13" s="1"/>
  <c r="H100" i="13"/>
  <c r="F100" i="13"/>
  <c r="E100" i="13"/>
  <c r="I99" i="13"/>
  <c r="K99" i="13" s="1"/>
  <c r="H99" i="13"/>
  <c r="F99" i="13"/>
  <c r="E99" i="13"/>
  <c r="I98" i="13"/>
  <c r="K98" i="13" s="1"/>
  <c r="H98" i="13"/>
  <c r="F98" i="13"/>
  <c r="E98" i="13"/>
  <c r="I97" i="13"/>
  <c r="K97" i="13" s="1"/>
  <c r="H97" i="13"/>
  <c r="F97" i="13"/>
  <c r="E97" i="13"/>
  <c r="I96" i="13"/>
  <c r="K96" i="13" s="1"/>
  <c r="H96" i="13"/>
  <c r="F96" i="13"/>
  <c r="E96" i="13"/>
  <c r="I95" i="13"/>
  <c r="K95" i="13" s="1"/>
  <c r="H95" i="13"/>
  <c r="F95" i="13"/>
  <c r="E95" i="13"/>
  <c r="I94" i="13"/>
  <c r="K94" i="13" s="1"/>
  <c r="H94" i="13"/>
  <c r="F94" i="13"/>
  <c r="E94" i="13"/>
  <c r="I93" i="13"/>
  <c r="K93" i="13" s="1"/>
  <c r="H93" i="13"/>
  <c r="F93" i="13"/>
  <c r="E93" i="13"/>
  <c r="E84" i="13"/>
  <c r="F84" i="13"/>
  <c r="H84" i="13"/>
  <c r="E85" i="13"/>
  <c r="F85" i="13"/>
  <c r="H85" i="13"/>
  <c r="E86" i="13"/>
  <c r="F86" i="13"/>
  <c r="H86" i="13"/>
  <c r="E87" i="13"/>
  <c r="F87" i="13"/>
  <c r="H87" i="13"/>
  <c r="E88" i="13"/>
  <c r="F88" i="13"/>
  <c r="H88" i="13"/>
  <c r="E89" i="13"/>
  <c r="F89" i="13"/>
  <c r="H89" i="13"/>
  <c r="E90" i="13"/>
  <c r="F90" i="13"/>
  <c r="H90" i="13"/>
  <c r="E91" i="13"/>
  <c r="F91" i="13"/>
  <c r="H91" i="13"/>
  <c r="H83" i="13"/>
  <c r="F83" i="13"/>
  <c r="E83" i="13"/>
  <c r="H81" i="13"/>
  <c r="F81" i="13"/>
  <c r="E81" i="13"/>
  <c r="H80" i="13"/>
  <c r="F80" i="13"/>
  <c r="E80" i="13"/>
  <c r="H79" i="13"/>
  <c r="F79" i="13"/>
  <c r="E79" i="13"/>
  <c r="H78" i="13"/>
  <c r="F78" i="13"/>
  <c r="E78" i="13"/>
  <c r="H77" i="13"/>
  <c r="F77" i="13"/>
  <c r="E77" i="13"/>
  <c r="I75" i="13"/>
  <c r="K75" i="13" s="1"/>
  <c r="H75" i="13"/>
  <c r="F75" i="13"/>
  <c r="E75" i="13"/>
  <c r="I74" i="13"/>
  <c r="K74" i="13" s="1"/>
  <c r="H74" i="13"/>
  <c r="F74" i="13"/>
  <c r="E74" i="13"/>
  <c r="I73" i="13"/>
  <c r="K73" i="13" s="1"/>
  <c r="H73" i="13"/>
  <c r="F73" i="13"/>
  <c r="E73" i="13"/>
  <c r="I72" i="13"/>
  <c r="K72" i="13" s="1"/>
  <c r="H72" i="13"/>
  <c r="F72" i="13"/>
  <c r="E72" i="13"/>
  <c r="H71" i="13"/>
  <c r="F71" i="13"/>
  <c r="E71" i="13"/>
  <c r="H70" i="13"/>
  <c r="F70" i="13"/>
  <c r="E70" i="13"/>
  <c r="K168" i="13" l="1"/>
  <c r="K167" i="13" s="1"/>
  <c r="K92" i="13"/>
  <c r="E61" i="13" l="1"/>
  <c r="F61" i="13"/>
  <c r="H61" i="13"/>
  <c r="I61" i="13"/>
  <c r="K61" i="13" s="1"/>
  <c r="E62" i="13"/>
  <c r="F62" i="13"/>
  <c r="H62" i="13"/>
  <c r="E63" i="13"/>
  <c r="F63" i="13"/>
  <c r="H63" i="13"/>
  <c r="I63" i="13"/>
  <c r="K63" i="13" s="1"/>
  <c r="E64" i="13"/>
  <c r="F64" i="13"/>
  <c r="H64" i="13"/>
  <c r="I64" i="13"/>
  <c r="K64" i="13" s="1"/>
  <c r="E65" i="13"/>
  <c r="F65" i="13"/>
  <c r="H65" i="13"/>
  <c r="E66" i="13"/>
  <c r="F66" i="13"/>
  <c r="H66" i="13"/>
  <c r="I66" i="13"/>
  <c r="K66" i="13" s="1"/>
  <c r="E67" i="13"/>
  <c r="F67" i="13"/>
  <c r="H67" i="13"/>
  <c r="E68" i="13"/>
  <c r="F68" i="13"/>
  <c r="H68" i="13"/>
  <c r="I60" i="13"/>
  <c r="K60" i="13" s="1"/>
  <c r="H60" i="13"/>
  <c r="F60" i="13"/>
  <c r="E60" i="13"/>
  <c r="E47" i="13"/>
  <c r="F47" i="13"/>
  <c r="H47" i="13"/>
  <c r="E48" i="13"/>
  <c r="F48" i="13"/>
  <c r="H48" i="13"/>
  <c r="E49" i="13"/>
  <c r="F49" i="13"/>
  <c r="H49" i="13"/>
  <c r="I49" i="13"/>
  <c r="K49" i="13" s="1"/>
  <c r="E50" i="13"/>
  <c r="F50" i="13"/>
  <c r="H50" i="13"/>
  <c r="I50" i="13"/>
  <c r="K50" i="13" s="1"/>
  <c r="E51" i="13"/>
  <c r="F51" i="13"/>
  <c r="H51" i="13"/>
  <c r="I51" i="13"/>
  <c r="K51" i="13" s="1"/>
  <c r="E52" i="13"/>
  <c r="F52" i="13"/>
  <c r="H52" i="13"/>
  <c r="I52" i="13"/>
  <c r="K52" i="13" s="1"/>
  <c r="E53" i="13"/>
  <c r="F53" i="13"/>
  <c r="H53" i="13"/>
  <c r="I53" i="13"/>
  <c r="K53" i="13" s="1"/>
  <c r="E54" i="13"/>
  <c r="F54" i="13"/>
  <c r="H54" i="13"/>
  <c r="I54" i="13"/>
  <c r="K54" i="13" s="1"/>
  <c r="E55" i="13"/>
  <c r="F55" i="13"/>
  <c r="H55" i="13"/>
  <c r="I55" i="13"/>
  <c r="K55" i="13" s="1"/>
  <c r="E56" i="13"/>
  <c r="F56" i="13"/>
  <c r="H56" i="13"/>
  <c r="E57" i="13"/>
  <c r="F57" i="13"/>
  <c r="H57" i="13"/>
  <c r="H46" i="13"/>
  <c r="F46" i="13"/>
  <c r="E46" i="13"/>
  <c r="E36" i="13"/>
  <c r="F36" i="13"/>
  <c r="H36" i="13"/>
  <c r="E37" i="13"/>
  <c r="F37" i="13"/>
  <c r="H37" i="13"/>
  <c r="I37" i="13"/>
  <c r="K37" i="13" s="1"/>
  <c r="E38" i="13"/>
  <c r="F38" i="13"/>
  <c r="H38" i="13"/>
  <c r="E39" i="13"/>
  <c r="F39" i="13"/>
  <c r="H39" i="13"/>
  <c r="I39" i="13"/>
  <c r="K39" i="13" s="1"/>
  <c r="F40" i="13"/>
  <c r="H40" i="13"/>
  <c r="I40" i="13"/>
  <c r="K40" i="13" s="1"/>
  <c r="E41" i="13"/>
  <c r="F41" i="13"/>
  <c r="H41" i="13"/>
  <c r="I41" i="13"/>
  <c r="K41" i="13" s="1"/>
  <c r="E42" i="13"/>
  <c r="F42" i="13"/>
  <c r="H42" i="13"/>
  <c r="E43" i="13"/>
  <c r="F43" i="13"/>
  <c r="H43" i="13"/>
  <c r="E44" i="13"/>
  <c r="F44" i="13"/>
  <c r="H44" i="13"/>
  <c r="I44" i="13"/>
  <c r="K44" i="13" s="1"/>
  <c r="H35" i="13"/>
  <c r="F35" i="13"/>
  <c r="E35" i="13"/>
  <c r="E31" i="13"/>
  <c r="F31" i="13"/>
  <c r="H31" i="13"/>
  <c r="E32" i="13"/>
  <c r="F32" i="13"/>
  <c r="H32" i="13"/>
  <c r="H30" i="13"/>
  <c r="F30" i="13"/>
  <c r="E30" i="13"/>
  <c r="H28" i="13"/>
  <c r="F28" i="13"/>
  <c r="E28" i="13"/>
  <c r="F26" i="13"/>
  <c r="E26" i="13"/>
  <c r="H26" i="13"/>
  <c r="I26" i="13"/>
  <c r="F19" i="13"/>
  <c r="E19" i="13"/>
  <c r="H19" i="13"/>
  <c r="I19" i="13"/>
  <c r="K19" i="13" s="1"/>
  <c r="F20" i="13"/>
  <c r="E20" i="13"/>
  <c r="H20" i="13"/>
  <c r="F21" i="13"/>
  <c r="E21" i="13"/>
  <c r="H21" i="13"/>
  <c r="F22" i="13"/>
  <c r="E22" i="13"/>
  <c r="H22" i="13"/>
  <c r="F23" i="13"/>
  <c r="E23" i="13"/>
  <c r="H23" i="13"/>
  <c r="F24" i="13"/>
  <c r="E24" i="13"/>
  <c r="H24" i="13"/>
  <c r="I24" i="13"/>
  <c r="K24" i="13" s="1"/>
  <c r="F25" i="13"/>
  <c r="E25" i="13"/>
  <c r="H25" i="13"/>
  <c r="I25" i="13"/>
  <c r="K25" i="13" s="1"/>
  <c r="H18" i="13"/>
  <c r="E18" i="13"/>
  <c r="F18" i="13"/>
  <c r="F17" i="13"/>
  <c r="E17" i="13"/>
  <c r="H17" i="13"/>
  <c r="I17" i="13"/>
  <c r="K17" i="13" s="1"/>
  <c r="H16" i="13"/>
  <c r="E16" i="13"/>
  <c r="F16" i="13"/>
  <c r="E13" i="13"/>
  <c r="E14" i="13"/>
  <c r="F13" i="13"/>
  <c r="F14" i="13"/>
  <c r="E12" i="13"/>
  <c r="F12" i="13"/>
  <c r="H192" i="15"/>
  <c r="H197" i="15" s="1"/>
  <c r="H199" i="15" s="1"/>
  <c r="H189" i="15"/>
  <c r="H186" i="15"/>
  <c r="H174" i="15"/>
  <c r="H173" i="15"/>
  <c r="O172" i="15"/>
  <c r="H172" i="15"/>
  <c r="H171" i="15"/>
  <c r="H170" i="15"/>
  <c r="F156" i="15"/>
  <c r="H156" i="15" s="1"/>
  <c r="H159" i="15" s="1"/>
  <c r="H164" i="15" s="1"/>
  <c r="H166" i="15" s="1"/>
  <c r="H142" i="15"/>
  <c r="F142" i="15"/>
  <c r="H141" i="15"/>
  <c r="F141" i="15"/>
  <c r="H127" i="15"/>
  <c r="H126" i="15"/>
  <c r="H125" i="15"/>
  <c r="H124" i="15"/>
  <c r="F123" i="15"/>
  <c r="H123" i="15" s="1"/>
  <c r="H122" i="15"/>
  <c r="F109" i="15"/>
  <c r="H109" i="15" s="1"/>
  <c r="F108" i="15"/>
  <c r="H108" i="15" s="1"/>
  <c r="F107" i="15"/>
  <c r="H107" i="15" s="1"/>
  <c r="H106" i="15"/>
  <c r="H105" i="15"/>
  <c r="F105" i="15"/>
  <c r="F104" i="15"/>
  <c r="H104" i="15" s="1"/>
  <c r="H103" i="15"/>
  <c r="F103" i="15"/>
  <c r="H102" i="15"/>
  <c r="H101" i="15"/>
  <c r="F100" i="15"/>
  <c r="H100" i="15" s="1"/>
  <c r="H99" i="15"/>
  <c r="F99" i="15"/>
  <c r="H98" i="15"/>
  <c r="F98" i="15"/>
  <c r="F85" i="15"/>
  <c r="H85" i="15" s="1"/>
  <c r="F84" i="15"/>
  <c r="H84" i="15" s="1"/>
  <c r="F83" i="15"/>
  <c r="H83" i="15" s="1"/>
  <c r="H82" i="15"/>
  <c r="F81" i="15"/>
  <c r="H81" i="15" s="1"/>
  <c r="F80" i="15"/>
  <c r="H80" i="15" s="1"/>
  <c r="H79" i="15"/>
  <c r="F79" i="15"/>
  <c r="H78" i="15"/>
  <c r="F77" i="15"/>
  <c r="H77" i="15" s="1"/>
  <c r="F76" i="15"/>
  <c r="H76" i="15" s="1"/>
  <c r="F75" i="15"/>
  <c r="H75" i="15" s="1"/>
  <c r="F74" i="15"/>
  <c r="H74" i="15" s="1"/>
  <c r="F73" i="15"/>
  <c r="H73" i="15" s="1"/>
  <c r="F61" i="15"/>
  <c r="H61" i="15" s="1"/>
  <c r="H60" i="15"/>
  <c r="H59" i="15"/>
  <c r="H58" i="15"/>
  <c r="H57" i="15"/>
  <c r="H56" i="15"/>
  <c r="F55" i="15"/>
  <c r="H55" i="15" s="1"/>
  <c r="F54" i="15"/>
  <c r="H54" i="15" s="1"/>
  <c r="H53" i="15"/>
  <c r="H40" i="15"/>
  <c r="H39" i="15"/>
  <c r="H38" i="15"/>
  <c r="H37" i="15"/>
  <c r="H36" i="15"/>
  <c r="H35" i="15"/>
  <c r="H43" i="15" s="1"/>
  <c r="H34" i="15"/>
  <c r="H21" i="15"/>
  <c r="H20" i="15"/>
  <c r="H19" i="15"/>
  <c r="H22" i="15" s="1"/>
  <c r="H18" i="15"/>
  <c r="H17" i="15"/>
  <c r="H16" i="15"/>
  <c r="H15" i="15"/>
  <c r="H14" i="15"/>
  <c r="H13" i="15"/>
  <c r="H12" i="15"/>
  <c r="H11" i="15"/>
  <c r="H23" i="15" s="1"/>
  <c r="R46" i="14"/>
  <c r="P46" i="14"/>
  <c r="N46" i="14"/>
  <c r="L46" i="14"/>
  <c r="J46" i="14"/>
  <c r="H46" i="14"/>
  <c r="E46" i="14"/>
  <c r="U45" i="14"/>
  <c r="T45" i="14"/>
  <c r="O45" i="14"/>
  <c r="O46" i="14" s="1"/>
  <c r="M45" i="14"/>
  <c r="M46" i="14" s="1"/>
  <c r="K45" i="14"/>
  <c r="K46" i="14" s="1"/>
  <c r="I45" i="14"/>
  <c r="I46" i="14" s="1"/>
  <c r="G45" i="14"/>
  <c r="G46" i="14" s="1"/>
  <c r="E45" i="14"/>
  <c r="Q45" i="14" s="1"/>
  <c r="Q46" i="14" s="1"/>
  <c r="E44" i="14"/>
  <c r="R43" i="14"/>
  <c r="P43" i="14"/>
  <c r="N43" i="14"/>
  <c r="L43" i="14"/>
  <c r="J43" i="14"/>
  <c r="H43" i="14"/>
  <c r="E43" i="14"/>
  <c r="U42" i="14"/>
  <c r="T42" i="14"/>
  <c r="O42" i="14"/>
  <c r="O43" i="14" s="1"/>
  <c r="M42" i="14"/>
  <c r="M43" i="14" s="1"/>
  <c r="K42" i="14"/>
  <c r="K43" i="14" s="1"/>
  <c r="I42" i="14"/>
  <c r="I43" i="14" s="1"/>
  <c r="G42" i="14"/>
  <c r="G43" i="14" s="1"/>
  <c r="E42" i="14"/>
  <c r="Q42" i="14" s="1"/>
  <c r="Q43" i="14" s="1"/>
  <c r="E41" i="14"/>
  <c r="R40" i="14"/>
  <c r="P40" i="14"/>
  <c r="N40" i="14"/>
  <c r="L40" i="14"/>
  <c r="J40" i="14"/>
  <c r="H40" i="14"/>
  <c r="E40" i="14"/>
  <c r="U39" i="14"/>
  <c r="T39" i="14"/>
  <c r="K39" i="14"/>
  <c r="K40" i="14" s="1"/>
  <c r="I39" i="14"/>
  <c r="I40" i="14" s="1"/>
  <c r="G39" i="14"/>
  <c r="G40" i="14" s="1"/>
  <c r="E39" i="14"/>
  <c r="E38" i="14"/>
  <c r="R37" i="14"/>
  <c r="P37" i="14"/>
  <c r="N37" i="14"/>
  <c r="L37" i="14"/>
  <c r="J37" i="14"/>
  <c r="H37" i="14"/>
  <c r="E37" i="14"/>
  <c r="U36" i="14"/>
  <c r="T36" i="14"/>
  <c r="Q36" i="14"/>
  <c r="Q37" i="14" s="1"/>
  <c r="I36" i="14"/>
  <c r="I37" i="14" s="1"/>
  <c r="G36" i="14"/>
  <c r="G37" i="14" s="1"/>
  <c r="E36" i="14"/>
  <c r="E35" i="14"/>
  <c r="R34" i="14"/>
  <c r="P34" i="14"/>
  <c r="N34" i="14"/>
  <c r="L34" i="14"/>
  <c r="J34" i="14"/>
  <c r="H34" i="14"/>
  <c r="E34" i="14"/>
  <c r="U33" i="14"/>
  <c r="T33" i="14"/>
  <c r="Q33" i="14"/>
  <c r="Q34" i="14" s="1"/>
  <c r="O33" i="14"/>
  <c r="O34" i="14" s="1"/>
  <c r="G33" i="14"/>
  <c r="G34" i="14" s="1"/>
  <c r="E33" i="14"/>
  <c r="E32" i="14"/>
  <c r="R31" i="14"/>
  <c r="P31" i="14"/>
  <c r="N31" i="14"/>
  <c r="L31" i="14"/>
  <c r="J31" i="14"/>
  <c r="H31" i="14"/>
  <c r="E31" i="14"/>
  <c r="U30" i="14"/>
  <c r="T30" i="14"/>
  <c r="Q30" i="14"/>
  <c r="Q31" i="14" s="1"/>
  <c r="I30" i="14"/>
  <c r="I31" i="14" s="1"/>
  <c r="G30" i="14"/>
  <c r="G31" i="14" s="1"/>
  <c r="E30" i="14"/>
  <c r="E29" i="14"/>
  <c r="R28" i="14"/>
  <c r="P28" i="14"/>
  <c r="N28" i="14"/>
  <c r="L28" i="14"/>
  <c r="J28" i="14"/>
  <c r="H28" i="14"/>
  <c r="E28" i="14"/>
  <c r="U27" i="14"/>
  <c r="T27" i="14"/>
  <c r="Q27" i="14"/>
  <c r="Q28" i="14" s="1"/>
  <c r="G27" i="14"/>
  <c r="G28" i="14" s="1"/>
  <c r="E27" i="14"/>
  <c r="V27" i="14" s="1"/>
  <c r="E26" i="14"/>
  <c r="R25" i="14"/>
  <c r="P25" i="14"/>
  <c r="N25" i="14"/>
  <c r="L25" i="14"/>
  <c r="J25" i="14"/>
  <c r="H25" i="14"/>
  <c r="E25" i="14"/>
  <c r="U24" i="14"/>
  <c r="T24" i="14"/>
  <c r="Q24" i="14"/>
  <c r="Q25" i="14" s="1"/>
  <c r="O24" i="14"/>
  <c r="O25" i="14" s="1"/>
  <c r="G24" i="14"/>
  <c r="G25" i="14" s="1"/>
  <c r="E24" i="14"/>
  <c r="E23" i="14"/>
  <c r="R22" i="14"/>
  <c r="P22" i="14"/>
  <c r="N22" i="14"/>
  <c r="L22" i="14"/>
  <c r="J22" i="14"/>
  <c r="H22" i="14"/>
  <c r="E22" i="14"/>
  <c r="U21" i="14"/>
  <c r="T21" i="14"/>
  <c r="Q21" i="14"/>
  <c r="Q22" i="14" s="1"/>
  <c r="O21" i="14"/>
  <c r="O22" i="14" s="1"/>
  <c r="M21" i="14"/>
  <c r="M22" i="14" s="1"/>
  <c r="E21" i="14"/>
  <c r="E20" i="14"/>
  <c r="R19" i="14"/>
  <c r="P19" i="14"/>
  <c r="N19" i="14"/>
  <c r="L19" i="14"/>
  <c r="J19" i="14"/>
  <c r="H19" i="14"/>
  <c r="E19" i="14"/>
  <c r="U18" i="14"/>
  <c r="T18" i="14"/>
  <c r="O18" i="14"/>
  <c r="O19" i="14" s="1"/>
  <c r="M18" i="14"/>
  <c r="M19" i="14" s="1"/>
  <c r="K18" i="14"/>
  <c r="K19" i="14" s="1"/>
  <c r="E18" i="14"/>
  <c r="E17" i="14"/>
  <c r="R16" i="14"/>
  <c r="P16" i="14"/>
  <c r="N16" i="14"/>
  <c r="L16" i="14"/>
  <c r="J16" i="14"/>
  <c r="H16" i="14"/>
  <c r="E16" i="14"/>
  <c r="U15" i="14"/>
  <c r="T15" i="14"/>
  <c r="Q15" i="14"/>
  <c r="Q16" i="14" s="1"/>
  <c r="O15" i="14"/>
  <c r="O16" i="14" s="1"/>
  <c r="M15" i="14"/>
  <c r="M16" i="14" s="1"/>
  <c r="K15" i="14"/>
  <c r="K16" i="14" s="1"/>
  <c r="E15" i="14"/>
  <c r="E14" i="14"/>
  <c r="J13" i="14"/>
  <c r="H13" i="14"/>
  <c r="E13" i="14"/>
  <c r="U12" i="14"/>
  <c r="T12" i="14"/>
  <c r="R12" i="14"/>
  <c r="R13" i="14" s="1"/>
  <c r="P12" i="14"/>
  <c r="P13" i="14" s="1"/>
  <c r="N12" i="14"/>
  <c r="N13" i="14" s="1"/>
  <c r="L12" i="14"/>
  <c r="J12" i="14"/>
  <c r="H12" i="14"/>
  <c r="E12" i="14"/>
  <c r="O12" i="14" s="1"/>
  <c r="J8" i="14"/>
  <c r="L8" i="14" s="1"/>
  <c r="N8" i="14" s="1"/>
  <c r="P8" i="14" s="1"/>
  <c r="R8" i="14" s="1"/>
  <c r="L189" i="13"/>
  <c r="K185" i="13"/>
  <c r="K179" i="13" s="1"/>
  <c r="C185" i="13"/>
  <c r="C179" i="13"/>
  <c r="C127" i="13"/>
  <c r="K121" i="13"/>
  <c r="K120" i="13" s="1"/>
  <c r="C121" i="13"/>
  <c r="C119" i="13"/>
  <c r="C118" i="13"/>
  <c r="C116" i="13"/>
  <c r="C107" i="13"/>
  <c r="K105" i="13"/>
  <c r="C105" i="13"/>
  <c r="C104" i="13"/>
  <c r="C82" i="13"/>
  <c r="C59" i="13"/>
  <c r="C58" i="13"/>
  <c r="C45" i="13"/>
  <c r="C33" i="13"/>
  <c r="C29" i="13"/>
  <c r="C26" i="13"/>
  <c r="C25" i="13"/>
  <c r="C24" i="13"/>
  <c r="C23" i="13"/>
  <c r="C22" i="13"/>
  <c r="C21" i="13"/>
  <c r="C20" i="13"/>
  <c r="C19" i="13"/>
  <c r="C18" i="13"/>
  <c r="C17" i="13"/>
  <c r="C15" i="13"/>
  <c r="C14" i="13"/>
  <c r="C13" i="13"/>
  <c r="C12" i="13"/>
  <c r="K10" i="13"/>
  <c r="V36" i="14" l="1"/>
  <c r="V18" i="14"/>
  <c r="V30" i="14"/>
  <c r="V15" i="14"/>
  <c r="V33" i="14"/>
  <c r="H112" i="15"/>
  <c r="H117" i="15" s="1"/>
  <c r="H119" i="15" s="1"/>
  <c r="H145" i="15"/>
  <c r="H150" i="15" s="1"/>
  <c r="H152" i="15" s="1"/>
  <c r="H130" i="15"/>
  <c r="H177" i="15"/>
  <c r="H182" i="15" s="1"/>
  <c r="H184" i="15" s="1"/>
  <c r="H64" i="15"/>
  <c r="H69" i="15" s="1"/>
  <c r="H71" i="15" s="1"/>
  <c r="H25" i="15"/>
  <c r="H24" i="15"/>
  <c r="H29" i="15" s="1"/>
  <c r="H31" i="15" s="1"/>
  <c r="V39" i="14"/>
  <c r="V24" i="14"/>
  <c r="Q12" i="14"/>
  <c r="Q13" i="14" s="1"/>
  <c r="G15" i="14"/>
  <c r="G16" i="14" s="1"/>
  <c r="G18" i="14"/>
  <c r="G19" i="14" s="1"/>
  <c r="I18" i="14"/>
  <c r="I19" i="14" s="1"/>
  <c r="V21" i="14"/>
  <c r="G21" i="14"/>
  <c r="G22" i="14" s="1"/>
  <c r="I15" i="14"/>
  <c r="I16" i="14" s="1"/>
  <c r="O13" i="14"/>
  <c r="H48" i="15"/>
  <c r="H50" i="15" s="1"/>
  <c r="H88" i="15"/>
  <c r="K26" i="13"/>
  <c r="E47" i="14"/>
  <c r="F36" i="14" s="1"/>
  <c r="V12" i="14"/>
  <c r="I12" i="14"/>
  <c r="G12" i="14"/>
  <c r="H135" i="15"/>
  <c r="H137" i="15" s="1"/>
  <c r="K12" i="14"/>
  <c r="M12" i="14"/>
  <c r="L13" i="14"/>
  <c r="V42" i="14"/>
  <c r="V45" i="14"/>
  <c r="I21" i="14"/>
  <c r="I22" i="14" s="1"/>
  <c r="K21" i="14"/>
  <c r="K22" i="14" s="1"/>
  <c r="I24" i="14"/>
  <c r="I25" i="14" s="1"/>
  <c r="K24" i="14"/>
  <c r="K25" i="14" s="1"/>
  <c r="I27" i="14"/>
  <c r="I28" i="14" s="1"/>
  <c r="Q18" i="14"/>
  <c r="Q19" i="14" s="1"/>
  <c r="M24" i="14"/>
  <c r="M25" i="14" s="1"/>
  <c r="K27" i="14"/>
  <c r="K28" i="14" s="1"/>
  <c r="M27" i="14"/>
  <c r="M28" i="14" s="1"/>
  <c r="K30" i="14"/>
  <c r="K31" i="14" s="1"/>
  <c r="I33" i="14"/>
  <c r="I34" i="14" s="1"/>
  <c r="O27" i="14"/>
  <c r="O28" i="14" s="1"/>
  <c r="M30" i="14"/>
  <c r="M31" i="14" s="1"/>
  <c r="K33" i="14"/>
  <c r="K34" i="14" s="1"/>
  <c r="O30" i="14"/>
  <c r="O31" i="14" s="1"/>
  <c r="M33" i="14"/>
  <c r="M34" i="14" s="1"/>
  <c r="K36" i="14"/>
  <c r="K37" i="14" s="1"/>
  <c r="M36" i="14"/>
  <c r="M37" i="14" s="1"/>
  <c r="O36" i="14"/>
  <c r="O37" i="14" s="1"/>
  <c r="M39" i="14"/>
  <c r="M40" i="14" s="1"/>
  <c r="O39" i="14"/>
  <c r="O40" i="14" s="1"/>
  <c r="Q39" i="14"/>
  <c r="Q40" i="14" s="1"/>
  <c r="F39" i="14" l="1"/>
  <c r="F27" i="14"/>
  <c r="F30" i="14"/>
  <c r="F12" i="14"/>
  <c r="G47" i="14"/>
  <c r="G13" i="14"/>
  <c r="F45" i="14"/>
  <c r="I47" i="14"/>
  <c r="J47" i="14" s="1"/>
  <c r="J55" i="14" s="1"/>
  <c r="I13" i="14"/>
  <c r="Q49" i="14"/>
  <c r="O49" i="14"/>
  <c r="M49" i="14"/>
  <c r="K49" i="14"/>
  <c r="I49" i="14"/>
  <c r="G49" i="14"/>
  <c r="E48" i="14"/>
  <c r="F18" i="14"/>
  <c r="F24" i="14"/>
  <c r="F21" i="14"/>
  <c r="F15" i="14"/>
  <c r="F42" i="14"/>
  <c r="K47" i="14"/>
  <c r="L47" i="14" s="1"/>
  <c r="J56" i="14" s="1"/>
  <c r="K13" i="14"/>
  <c r="H93" i="15"/>
  <c r="H95" i="15" s="1"/>
  <c r="O47" i="14"/>
  <c r="P47" i="14" s="1"/>
  <c r="J58" i="14" s="1"/>
  <c r="Q47" i="14"/>
  <c r="R47" i="14" s="1"/>
  <c r="J59" i="14" s="1"/>
  <c r="M47" i="14"/>
  <c r="N47" i="14" s="1"/>
  <c r="J57" i="14" s="1"/>
  <c r="M13" i="14"/>
  <c r="F33" i="14"/>
  <c r="K50" i="14" l="1"/>
  <c r="G48" i="14"/>
  <c r="H47" i="14"/>
  <c r="J54" i="14" s="1"/>
  <c r="K54" i="14" s="1"/>
  <c r="K55" i="14" s="1"/>
  <c r="K56" i="14" s="1"/>
  <c r="K57" i="14" s="1"/>
  <c r="K58" i="14" s="1"/>
  <c r="K59" i="14" s="1"/>
  <c r="G50" i="14"/>
  <c r="I50" i="14"/>
  <c r="M50" i="14"/>
  <c r="O50" i="14"/>
  <c r="Q50" i="14"/>
  <c r="I48" i="14" l="1"/>
  <c r="H48" i="14"/>
  <c r="K48" i="14" l="1"/>
  <c r="J48" i="14"/>
  <c r="M48" i="14" l="1"/>
  <c r="L48" i="14"/>
  <c r="O48" i="14" l="1"/>
  <c r="N48" i="14"/>
  <c r="Q48" i="14" l="1"/>
  <c r="R48" i="14" s="1"/>
  <c r="P48" i="14"/>
  <c r="I106" i="13" l="1"/>
  <c r="K106" i="13" s="1"/>
  <c r="K104" i="13" s="1"/>
  <c r="I103" i="13"/>
  <c r="K103" i="13" s="1"/>
  <c r="I102" i="13" l="1"/>
  <c r="K102" i="13" s="1"/>
  <c r="K101" i="13" s="1"/>
  <c r="I71" i="13"/>
  <c r="K71" i="13" s="1"/>
  <c r="I70" i="13"/>
  <c r="K70" i="13" s="1"/>
  <c r="I65" i="13"/>
  <c r="K65" i="13" s="1"/>
  <c r="I48" i="13"/>
  <c r="K48" i="13" s="1"/>
  <c r="I47" i="13"/>
  <c r="K47" i="13" s="1"/>
  <c r="I46" i="13"/>
  <c r="K46" i="13" s="1"/>
  <c r="I38" i="13"/>
  <c r="K38" i="13" s="1"/>
  <c r="I35" i="13"/>
  <c r="K35" i="13" s="1"/>
  <c r="I32" i="13"/>
  <c r="K32" i="13" s="1"/>
  <c r="I31" i="13"/>
  <c r="K31" i="13" s="1"/>
  <c r="I30" i="13"/>
  <c r="K30" i="13" s="1"/>
  <c r="I62" i="13" l="1"/>
  <c r="K62" i="13" s="1"/>
  <c r="I36" i="13"/>
  <c r="K36" i="13" s="1"/>
  <c r="K69" i="13"/>
  <c r="K29" i="13"/>
  <c r="I68" i="13"/>
  <c r="K68" i="13" s="1"/>
  <c r="I67" i="13"/>
  <c r="K67" i="13" s="1"/>
  <c r="I43" i="13"/>
  <c r="K43" i="13" s="1"/>
  <c r="I42" i="13"/>
  <c r="K42" i="13" s="1"/>
  <c r="I57" i="13"/>
  <c r="K57" i="13" s="1"/>
  <c r="I56" i="13"/>
  <c r="K56" i="13" s="1"/>
  <c r="I132" i="13"/>
  <c r="K132" i="13" s="1"/>
  <c r="I130" i="13"/>
  <c r="K130" i="13" s="1"/>
  <c r="I131" i="13"/>
  <c r="K131" i="13" s="1"/>
  <c r="K59" i="13" l="1"/>
  <c r="K58" i="13" s="1"/>
  <c r="K34" i="13"/>
  <c r="K45" i="13"/>
  <c r="I129" i="13"/>
  <c r="K129" i="13" s="1"/>
  <c r="I128" i="13"/>
  <c r="K128" i="13" s="1"/>
  <c r="I155" i="13"/>
  <c r="K155" i="13" s="1"/>
  <c r="I162" i="13"/>
  <c r="K162" i="13" s="1"/>
  <c r="I28" i="13"/>
  <c r="K28" i="13" s="1"/>
  <c r="K27" i="13" s="1"/>
  <c r="K33" i="13" l="1"/>
  <c r="K127" i="13"/>
  <c r="I14" i="13"/>
  <c r="K14" i="13" s="1"/>
  <c r="I13" i="13"/>
  <c r="K13" i="13" s="1"/>
  <c r="I12" i="13"/>
  <c r="K12" i="13" s="1"/>
  <c r="I18" i="13"/>
  <c r="K18" i="13" s="1"/>
  <c r="I16" i="13"/>
  <c r="K16" i="13" s="1"/>
  <c r="I23" i="13"/>
  <c r="K23" i="13" s="1"/>
  <c r="K11" i="13" l="1"/>
  <c r="I21" i="13"/>
  <c r="K21" i="13" s="1"/>
  <c r="I20" i="13"/>
  <c r="K20" i="13" s="1"/>
  <c r="I22" i="13"/>
  <c r="K22" i="13" s="1"/>
  <c r="K15" i="13" l="1"/>
  <c r="I165" i="13"/>
  <c r="K165" i="13" s="1"/>
  <c r="K143" i="13" s="1"/>
  <c r="L32" i="4"/>
  <c r="I184" i="13"/>
  <c r="I134" i="13"/>
  <c r="I126" i="13"/>
  <c r="I125" i="13"/>
  <c r="I124" i="13"/>
  <c r="I123" i="13"/>
  <c r="K122" i="13" s="1"/>
  <c r="I119" i="13"/>
  <c r="I118" i="13"/>
  <c r="K117" i="13" s="1"/>
  <c r="I115" i="13"/>
  <c r="I114" i="13"/>
  <c r="I113" i="13"/>
  <c r="I112" i="13"/>
  <c r="I111" i="13"/>
  <c r="I110" i="13"/>
  <c r="I108" i="13"/>
  <c r="I91" i="13"/>
  <c r="I90" i="13"/>
  <c r="I89" i="13"/>
  <c r="I88" i="13"/>
  <c r="I87" i="13"/>
  <c r="I86" i="13"/>
  <c r="I85" i="13"/>
  <c r="I84" i="13"/>
  <c r="I83" i="13"/>
  <c r="K82" i="13" s="1"/>
  <c r="I81" i="13"/>
  <c r="I80" i="13"/>
  <c r="I78" i="13"/>
  <c r="K116" i="13" l="1"/>
  <c r="I181" i="13"/>
  <c r="I180" i="13"/>
  <c r="I77" i="13"/>
  <c r="K76" i="13" s="1"/>
  <c r="I79" i="13"/>
  <c r="I183" i="13"/>
  <c r="K186" i="13" l="1"/>
  <c r="K187" i="13" s="1"/>
  <c r="K189" i="13" s="1"/>
  <c r="M189" i="13" s="1"/>
  <c r="P32" i="4"/>
  <c r="M32" i="4"/>
  <c r="H201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da Silva Almeida</author>
  </authors>
  <commentList>
    <comment ref="C44" authorId="0" shapeId="0" xr:uid="{AA845E74-8C9A-475A-883B-7800780F2EFA}">
      <text>
        <r>
          <rPr>
            <b/>
            <sz val="9"/>
            <color indexed="81"/>
            <rFont val="Segoe UI"/>
            <family val="2"/>
          </rPr>
          <t>Ingrid da Silva Almeida:</t>
        </r>
        <r>
          <rPr>
            <sz val="9"/>
            <color indexed="81"/>
            <rFont val="Segoe UI"/>
            <family val="2"/>
          </rPr>
          <t xml:space="preserve">
COMPOSIÇÃO CPU_IFAM.COZ.136</t>
        </r>
      </text>
    </comment>
    <comment ref="C47" authorId="0" shapeId="0" xr:uid="{F5864D07-A925-4669-B400-F36627FF1324}">
      <text>
        <r>
          <rPr>
            <b/>
            <sz val="9"/>
            <color indexed="81"/>
            <rFont val="Segoe UI"/>
            <family val="2"/>
          </rPr>
          <t>Ingrid da Silva Almeida:</t>
        </r>
        <r>
          <rPr>
            <sz val="9"/>
            <color indexed="81"/>
            <rFont val="Segoe UI"/>
            <family val="2"/>
          </rPr>
          <t xml:space="preserve">
FAZER COMPOSIÇÃO 
CPU_IFAM.COZ.185</t>
        </r>
      </text>
    </comment>
  </commentList>
</comments>
</file>

<file path=xl/sharedStrings.xml><?xml version="1.0" encoding="utf-8"?>
<sst xmlns="http://schemas.openxmlformats.org/spreadsheetml/2006/main" count="2324" uniqueCount="961">
  <si>
    <t>UND</t>
  </si>
  <si>
    <t>M</t>
  </si>
  <si>
    <t>MEMÓRIA DE CÁLCULO</t>
  </si>
  <si>
    <t>REPÚBLICA FEDERATIVA DO BRASIL</t>
  </si>
  <si>
    <t>MINISTÉRIO DA EDUCAÇÃO</t>
  </si>
  <si>
    <t>SECRETARIA DA EDUCAÇÃO TECNOLÓGICA</t>
  </si>
  <si>
    <t>INSTITUTO DE EDUCAÇÃO CIENCIA E TECNOLOGIA DO AMAZONAS</t>
  </si>
  <si>
    <t xml:space="preserve"> PRÓ-REITORIA DE DESENVOLVIMENTO INSTITUCIONAL</t>
  </si>
  <si>
    <t>M3</t>
  </si>
  <si>
    <t>M2</t>
  </si>
  <si>
    <t>UN</t>
  </si>
  <si>
    <t>INFRAESTRUTURA</t>
  </si>
  <si>
    <t>KG</t>
  </si>
  <si>
    <t>ASSENTO SANITARIO DE PLASTICO, TIPO CONVENCIONAL</t>
  </si>
  <si>
    <t>SER.CG</t>
  </si>
  <si>
    <t>H</t>
  </si>
  <si>
    <t>M.O.</t>
  </si>
  <si>
    <t>SERVENTE COM ENCARGOS COMPLEMENTARES</t>
  </si>
  <si>
    <t>PEDREIRO COM ENCARGOS COMPLEMENTARES</t>
  </si>
  <si>
    <t>CÓDIGO</t>
  </si>
  <si>
    <t>DESCRIÇÃO</t>
  </si>
  <si>
    <t>CLASS</t>
  </si>
  <si>
    <t>UNIDADE</t>
  </si>
  <si>
    <t>COEF.</t>
  </si>
  <si>
    <t>PREÇO(R$)</t>
  </si>
  <si>
    <t>PREÇO TOTAL (R$)</t>
  </si>
  <si>
    <t>CPU NOVA</t>
  </si>
  <si>
    <t>88316</t>
  </si>
  <si>
    <t>CHP</t>
  </si>
  <si>
    <t>CHI</t>
  </si>
  <si>
    <t>INSUMO</t>
  </si>
  <si>
    <t>ok</t>
  </si>
  <si>
    <t>TOTAL</t>
  </si>
  <si>
    <t>TOTAL GERAL</t>
  </si>
  <si>
    <t>ARRANQUE - VIGA BALDRAME</t>
  </si>
  <si>
    <t>MOVIMENTO DE TERRA</t>
  </si>
  <si>
    <r>
      <t xml:space="preserve">Objeto: </t>
    </r>
    <r>
      <rPr>
        <i/>
        <sz val="9"/>
        <color indexed="8"/>
        <rFont val="Arial"/>
        <family val="2"/>
      </rPr>
      <t>Reforma e Ampliação do Refeitório do Campus Tabatinga</t>
    </r>
  </si>
  <si>
    <r>
      <t xml:space="preserve">Endereço: </t>
    </r>
    <r>
      <rPr>
        <sz val="9"/>
        <color indexed="8"/>
        <rFont val="Arial"/>
        <family val="2"/>
      </rPr>
      <t xml:space="preserve">Avenida Santos Dumont, S/Nº. Bairro: Expansão Município: Tabatinga/AM – CEP: 69.640-000 </t>
    </r>
  </si>
  <si>
    <t>ANEXO 1</t>
  </si>
  <si>
    <t>RESUMO</t>
  </si>
  <si>
    <t>CHAPISCO INTERNO</t>
  </si>
  <si>
    <t>CHAPISCO EXTERNO S/ VÃO</t>
  </si>
  <si>
    <t>CHAPISCO EXTERNO C/ VÃO</t>
  </si>
  <si>
    <t>REBOCO INTERNO - VÃOS MENORES QUE 10M²</t>
  </si>
  <si>
    <t>REBOCO INTERNO - VÃOS MAIORES QUE 10M²</t>
  </si>
  <si>
    <t>EMBOÇO INTERNO - VÃOS MENORES QUE 5M² PARA RECEBIMENTO DE CERÂMICA</t>
  </si>
  <si>
    <t>EMBOÇO INTERNO - VÃOS ENTRE 5 E 10M² PARA RECEBIMENTO DE CERÂMICA</t>
  </si>
  <si>
    <t>EMBOÇO INTERNO - VÃOS MAIORES QUE 10M² PARA RECEBIMENTO DE CERÂMICA</t>
  </si>
  <si>
    <t>EMBOÇO EXTERNO S/ VÃO</t>
  </si>
  <si>
    <t>EMBOÇO EXTERNO C/ VÃO</t>
  </si>
  <si>
    <t>SECRETARIA DE EDUCAÇÃO MÉDIA  E TECNOLÓGICA</t>
  </si>
  <si>
    <t>INSTITUTO FEDERAL DE EDUCAÇÃO, CIÊNCIA E TECNOLOGIA DO AMAZONAS</t>
  </si>
  <si>
    <t>PRO-REITORIA DE DESENVOLVIMENTO INSTITUCIONAL</t>
  </si>
  <si>
    <t>DEPARTAMENTO DE OBRAS E SERVIÇOS DE ENGENHARIA</t>
  </si>
  <si>
    <r>
      <t xml:space="preserve">Obra: </t>
    </r>
    <r>
      <rPr>
        <i/>
        <sz val="10"/>
        <color indexed="8"/>
        <rFont val="Arial"/>
        <family val="2"/>
      </rPr>
      <t>Reforma e Ampliação do Refeitório do Campus Tabatinga</t>
    </r>
  </si>
  <si>
    <r>
      <t xml:space="preserve">Endereço: </t>
    </r>
    <r>
      <rPr>
        <i/>
        <sz val="10"/>
        <color indexed="8"/>
        <rFont val="Arial"/>
        <family val="2"/>
      </rPr>
      <t>Av. Santos Dumont, S/Nº, Expansão. Tabatinga - AM</t>
    </r>
  </si>
  <si>
    <t>ANEXO 2</t>
  </si>
  <si>
    <t>Listagem de Aço - Estrutura Metálica</t>
  </si>
  <si>
    <t>TELHA</t>
  </si>
  <si>
    <t>CUMEEIRA</t>
  </si>
  <si>
    <t xml:space="preserve">CALHA </t>
  </si>
  <si>
    <t>TRELIÇAS</t>
  </si>
  <si>
    <t>TERÇAS E ALINHADORES</t>
  </si>
  <si>
    <t>POS</t>
  </si>
  <si>
    <t>QTDE</t>
  </si>
  <si>
    <t>COMP UNIT. (mm)</t>
  </si>
  <si>
    <t>COMP. TOTAL (m)</t>
  </si>
  <si>
    <t>MAT.</t>
  </si>
  <si>
    <t>KG/M</t>
  </si>
  <si>
    <t>PESO (Kg)</t>
  </si>
  <si>
    <t>U125x50x3</t>
  </si>
  <si>
    <t>U120x40x3</t>
  </si>
  <si>
    <t>UEnr100x50x20x3</t>
  </si>
  <si>
    <t>L25X25X2</t>
  </si>
  <si>
    <t>UEnr75x45x20x2</t>
  </si>
  <si>
    <t>Obra: Reforma e Ampliação do Refeitório do Campus Tabatinga</t>
  </si>
  <si>
    <t>ZARCÃO</t>
  </si>
  <si>
    <t>PINTURA ESMALTE</t>
  </si>
  <si>
    <t>VENEZIANA ZARCÃO FRENTE E VERSO</t>
  </si>
  <si>
    <t>VENEZIANA PINTURA ESMALTE FRENTE</t>
  </si>
  <si>
    <t>88274</t>
  </si>
  <si>
    <t>MARMORISTA/GRANITEIRO COM ENCARGOS COMPLEMENTARES</t>
  </si>
  <si>
    <t xml:space="preserve"> SERVENTE COM ENCARGOS COMPLEMENTARES</t>
  </si>
  <si>
    <t>SIFAO PLASTICO EXTENSIVEL UNIVERSAL, TIPO COPO</t>
  </si>
  <si>
    <t>2,0000000</t>
  </si>
  <si>
    <t>37329</t>
  </si>
  <si>
    <t>REJUNTE EPOXI BRANCO</t>
  </si>
  <si>
    <t>ENCANADOR OU BOMBEIRO HIDRÁULICO COM ENCARGOS COMPLEMENTARES</t>
  </si>
  <si>
    <t>ASSENTO VASO SANITARIO INFANTIL EM PLASTICO BRANCO</t>
  </si>
  <si>
    <t>4823</t>
  </si>
  <si>
    <t>MASSA PLASTICA PARA MARMORE/GRANITO</t>
  </si>
  <si>
    <t>7568</t>
  </si>
  <si>
    <t>BUCHA DE NYLON SEM ABA S10, COM PARAFUSO DE 6,10 X 65 MM EM ACO ZINCADO COM ROSCA SOBERBA, CABECA CHATA E FENDA PHILLIPS</t>
  </si>
  <si>
    <t>6,0000000</t>
  </si>
  <si>
    <t>11795</t>
  </si>
  <si>
    <t>GRANITO PARA BANCADA, POLIDO, TIPO ANDORINHA/ QUARTZ/ CASTELO/ CORUMBA OU OUTROS EQUIVALENTES DA REGIAO, E=  *2,5* CM</t>
  </si>
  <si>
    <t>0,9800000</t>
  </si>
  <si>
    <t>37591</t>
  </si>
  <si>
    <t>SUPORTE MAO-FRANCESA EM ACO, ABAS IGUAIS 40 CM, CAPACIDADE MINIMA 70 KG, BRANCO</t>
  </si>
  <si>
    <t>1,4900000</t>
  </si>
  <si>
    <t>BANCADA DE GRANITO CINZA POLIDO PARA PIA DE COZINHA  COM RODABANCADA DE 10 CM- FORNECIMENTO E INSTALAÇÃO. AF_12/2013</t>
  </si>
  <si>
    <t>88309</t>
  </si>
  <si>
    <t>0,0429000</t>
  </si>
  <si>
    <t>1,0400000</t>
  </si>
  <si>
    <t>0,0701000</t>
  </si>
  <si>
    <t>Coeficiente</t>
  </si>
  <si>
    <t>Unidade</t>
  </si>
  <si>
    <t>CPU _ MANACAPURU 01 - BASE 98230 SINAPI</t>
  </si>
  <si>
    <t xml:space="preserve">ESTACA BROCA DE CONCRETO, DIÂMETRO DE 30 CM, PROFUNDIDADE DE ATÉ 5 M, ESCAVAÇÃO MANUAL COM TRADO CONCHA,NÃO  ARMADA. </t>
  </si>
  <si>
    <t xml:space="preserve">Endereço: </t>
  </si>
  <si>
    <t xml:space="preserve"> CONCRETO FCK = 25MPA, TRAÇO 1:2,3:2,7 (CIMENTO/ AREIA MÉDIA/ BRITA 1)- PREPARO MECÂNICO COM BETONEIRA 600 L. AF_07/2016</t>
  </si>
  <si>
    <t>SERVIÇOS PRELIMINARES</t>
  </si>
  <si>
    <t>PLACA DE OBRA EM LONA COM IMPRESSÃO DIGITAL- FORNECIMENTO E INSTALAÇÃO</t>
  </si>
  <si>
    <t>PLACA IFAM (C x L) =</t>
  </si>
  <si>
    <t>2,40 x 1,50 = 3,60m²</t>
  </si>
  <si>
    <t>PLACA CREA (C x L) =</t>
  </si>
  <si>
    <t>1,20 X 1,00 = 1,20m²</t>
  </si>
  <si>
    <t>COBERTURA</t>
  </si>
  <si>
    <t>CONFORME PROJETO</t>
  </si>
  <si>
    <t>ALVENARIA / VEDAÇÕES / DIVISÓRIAS</t>
  </si>
  <si>
    <t>FIXAÇÃO (ENCUNHAMENTO) DE ALVENARIA DE VEDAÇÃO COM ARGAMASSA APLICADA COM COLHER. AF_03/2016</t>
  </si>
  <si>
    <t>ANEXO 3</t>
  </si>
  <si>
    <t>PISOS</t>
  </si>
  <si>
    <t>FORRO</t>
  </si>
  <si>
    <t>IMPERMEABILIZAÇÃO</t>
  </si>
  <si>
    <t>ANEXO 01</t>
  </si>
  <si>
    <t>CHAPISCO APLICADO EM ALVENARIAS E ESTRUTURAS DE CONCRETO INTERNAS,COLHER DE PEDREIRO. ARGAMASSA TRAÇO 1:3 COM PREPARO EM BETONEIRA 400L. AF_06/2014</t>
  </si>
  <si>
    <t>13.1</t>
  </si>
  <si>
    <t>13.2</t>
  </si>
  <si>
    <t>PISO</t>
  </si>
  <si>
    <t>13.3</t>
  </si>
  <si>
    <t>PAREDES</t>
  </si>
  <si>
    <t>ESQUADRIAS</t>
  </si>
  <si>
    <t>ANEXO 03</t>
  </si>
  <si>
    <t>LOUÇAS E METAIS</t>
  </si>
  <si>
    <t>1 UND</t>
  </si>
  <si>
    <t>18.1</t>
  </si>
  <si>
    <t>LIMPEZA DA OBRA</t>
  </si>
  <si>
    <t>BANCADA DE GRANITO CINZA POLIDO PARA PIA DE COZINHA 1,7 X 0,60 M  COM RODABANCADA DE 10 CM - FORNECIMENTO E INSTALAÇÃO. AF_12/2013</t>
  </si>
  <si>
    <t>BANCADA DE GRANITO CINZA POLIDO PARA PIA DE COZINHA 2,10 X 0,60 M  COM RODABANCADA DE 10 CM - FORNECIMENTO E INSTALAÇÃO. AF_12/2013</t>
  </si>
  <si>
    <t>LIGAÇÃO PROVISÓRIA DE ÁGUA C/ TORNEIRA, TUBOS, REGISTRO E CONEXÕES</t>
  </si>
  <si>
    <t>INSTAL/LIGACAO PROVISORIA ELETRICA BAIXA TENSAO P/CANT OBRA OBRA,M3-CHAVE 100A CARGA 3KWH,20CV EXCL FORN MEDIDOR</t>
  </si>
  <si>
    <t>CPU_IFAM.XXX</t>
  </si>
  <si>
    <r>
      <t xml:space="preserve">Obra:  </t>
    </r>
    <r>
      <rPr>
        <b/>
        <i/>
        <sz val="10"/>
        <color rgb="FF000000"/>
        <rFont val="Arial Narrow"/>
        <family val="2"/>
      </rPr>
      <t>CONSTRUÇÃO DO MURO DE DIVISA/CONTORNO DO CAMPUS TEFÉ</t>
    </r>
  </si>
  <si>
    <t>Data-Base:</t>
  </si>
  <si>
    <t>out-2016</t>
  </si>
  <si>
    <r>
      <t xml:space="preserve">Endereço: </t>
    </r>
    <r>
      <rPr>
        <b/>
        <i/>
        <sz val="10"/>
        <color rgb="FF000000"/>
        <rFont val="Arial Narrow"/>
        <family val="2"/>
      </rPr>
      <t xml:space="preserve">ESTRADA DAS MISSÕES S/Nº ZONA RURAL - CEP: 69.550-000 - Tefé/AM
</t>
    </r>
  </si>
  <si>
    <t>SINAPI:</t>
  </si>
  <si>
    <t>jul-2016</t>
  </si>
  <si>
    <t>Leis Sociais - Horista:</t>
  </si>
  <si>
    <t>Leis Sociais - Mensalista:</t>
  </si>
  <si>
    <t>B.D.I.:</t>
  </si>
  <si>
    <t>002. Planilha Orçamentária - SINTÉTICA</t>
  </si>
  <si>
    <t>ITEM</t>
  </si>
  <si>
    <t>QUANT.</t>
  </si>
  <si>
    <t>TOTAL (C/ B.D.I 28,35% e B.D.I. Equip. 20,93% aplicados)</t>
  </si>
  <si>
    <t>01.</t>
  </si>
  <si>
    <t xml:space="preserve">GERENCIAMENTO DE OBRAS/FISCALIZAÇÃO </t>
  </si>
  <si>
    <t>01.1</t>
  </si>
  <si>
    <t>01.2</t>
  </si>
  <si>
    <t>01.3</t>
  </si>
  <si>
    <t>02.</t>
  </si>
  <si>
    <t>SERVIÇOS PRELIMINARES/TÉCNICOS</t>
  </si>
  <si>
    <t>02.1</t>
  </si>
  <si>
    <t>ALVARA DE CONSTRUÇÃO (LÁBREA)</t>
  </si>
  <si>
    <t>02.2</t>
  </si>
  <si>
    <t>02.3</t>
  </si>
  <si>
    <t>02.4</t>
  </si>
  <si>
    <t>02.5</t>
  </si>
  <si>
    <t>02.6</t>
  </si>
  <si>
    <t>02.7</t>
  </si>
  <si>
    <t>02.8</t>
  </si>
  <si>
    <t>02.9</t>
  </si>
  <si>
    <t>02.10</t>
  </si>
  <si>
    <t>02.11</t>
  </si>
  <si>
    <t>REMOÇÃO DE MOURÃO, COM REAPROVEITAMENTO DE 70%</t>
  </si>
  <si>
    <t>REMOÇÃO DE ARAME FARPADO, COM REAPROVEITAMENTO DE 70%</t>
  </si>
  <si>
    <t>03.</t>
  </si>
  <si>
    <t>TRANSPORTES DE MATERIAIS</t>
  </si>
  <si>
    <t>04.</t>
  </si>
  <si>
    <t>05.</t>
  </si>
  <si>
    <t>05.1</t>
  </si>
  <si>
    <t>SAPATAS</t>
  </si>
  <si>
    <t>05.1.01</t>
  </si>
  <si>
    <t>05.1.02</t>
  </si>
  <si>
    <t>05.1.03</t>
  </si>
  <si>
    <t>05.1.04</t>
  </si>
  <si>
    <t>05.1.05</t>
  </si>
  <si>
    <t>05.2</t>
  </si>
  <si>
    <t>05.2.01</t>
  </si>
  <si>
    <t>05.2.02</t>
  </si>
  <si>
    <t>05.2.03</t>
  </si>
  <si>
    <t>05.2.04</t>
  </si>
  <si>
    <t>05.2.05</t>
  </si>
  <si>
    <t>05.2.06</t>
  </si>
  <si>
    <t>05.2.07</t>
  </si>
  <si>
    <t>05.2.08</t>
  </si>
  <si>
    <t>06.</t>
  </si>
  <si>
    <t>SUPRAESTRUTURA</t>
  </si>
  <si>
    <t>06.1</t>
  </si>
  <si>
    <t>VIGA COBERTURA  - PILARES</t>
  </si>
  <si>
    <t>VIGA COBERTURA - PILARES</t>
  </si>
  <si>
    <t>06.1.01</t>
  </si>
  <si>
    <t>06.1.02</t>
  </si>
  <si>
    <t>06.1.04</t>
  </si>
  <si>
    <t>06.1.05</t>
  </si>
  <si>
    <t>06.1.06</t>
  </si>
  <si>
    <t>06.1.07</t>
  </si>
  <si>
    <t>06.1.08</t>
  </si>
  <si>
    <t>07.</t>
  </si>
  <si>
    <t>ALVENARIA/VEDAÇÃO/DIVISÓRIA</t>
  </si>
  <si>
    <t>07.01</t>
  </si>
  <si>
    <t>07.02</t>
  </si>
  <si>
    <t>INSTALAÇÃO DE CONCERTINA DUPLA CLIPADA EM ACO GALVANIZADO DE ALTA RESISTENCIA, COM ESPIRAL DE 300 MM, D = 2,76 MM</t>
  </si>
  <si>
    <t>08.</t>
  </si>
  <si>
    <t>09.</t>
  </si>
  <si>
    <t>REVESTIMENTOS</t>
  </si>
  <si>
    <t>09.01</t>
  </si>
  <si>
    <t>09.02</t>
  </si>
  <si>
    <t>09.03</t>
  </si>
  <si>
    <t>10.</t>
  </si>
  <si>
    <t>PINTURAS</t>
  </si>
  <si>
    <t>10.01</t>
  </si>
  <si>
    <t>10.02</t>
  </si>
  <si>
    <t xml:space="preserve">JUNTA DE DILATACAO (DIMENSÕES LXP - 20X10MM) COM PREENCHIMENTO EM ISOPOR 20 MM E APLICAÇÃO DE SELANTE A BASE DE POLIURETANO  </t>
  </si>
  <si>
    <t>11.</t>
  </si>
  <si>
    <t>ESQUADRIAS METÁLICAS</t>
  </si>
  <si>
    <t>PORTÃO DE CORRER EM PERFIL METÁLICO E TELA DIMENSÕES 2,20X6M, INCLUSO TRILHOS E BASE EM CONCRETO</t>
  </si>
  <si>
    <t>PORTA PARA PEDESTRES EM PERFIL METÁLICO E TELA DIMENSÕES 1,0X2,10M, INCLUSO BATENTE LATERAL EM PERFIL</t>
  </si>
  <si>
    <t>12.</t>
  </si>
  <si>
    <t>SERVIÇOS FINAIS</t>
  </si>
  <si>
    <t>12.01</t>
  </si>
  <si>
    <t>TOTAL COM B.D.I. (28,35%)</t>
  </si>
  <si>
    <t>004. Planilha Orçamentária - CRONOGRAMA FÍSICO-FINANCEIRO</t>
  </si>
  <si>
    <t>DIAS</t>
  </si>
  <si>
    <t>DISCRIMINAÇÃO DAS ETAPAS</t>
  </si>
  <si>
    <t>PREÇO</t>
  </si>
  <si>
    <t>%</t>
  </si>
  <si>
    <t>VALOR</t>
  </si>
  <si>
    <t>PERC.</t>
  </si>
  <si>
    <t>ETAPA</t>
  </si>
  <si>
    <t>R$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</si>
  <si>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</si>
  <si>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</si>
  <si>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</si>
  <si>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</si>
  <si>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</si>
  <si>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</si>
  <si>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</si>
  <si>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</si>
  <si>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</si>
  <si>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TOTAL COM BDI (POR AVANÇOS)</t>
  </si>
  <si>
    <t>TOTAL COM BDI (ACUMULADO)</t>
  </si>
  <si>
    <t>med</t>
  </si>
  <si>
    <t>acum</t>
  </si>
  <si>
    <t>003. Planilha Orçamentária - COMPOSIÇÕES UNITÁRIAS</t>
  </si>
  <si>
    <t xml:space="preserve">73960/1U </t>
  </si>
  <si>
    <t xml:space="preserve">SER.CG </t>
  </si>
  <si>
    <t xml:space="preserve">UN </t>
  </si>
  <si>
    <t>ELETRODUTO METALICO FLEXIVEL TIPO CONDUITE D = 1 1/2"</t>
  </si>
  <si>
    <t>FUSIVEL DIAZED 20 A TAMANHO DII, CAPACIDADE DE INTERRUPCAO DE 50 KA EM VCA E 8 KA EM VCC, TENSAO NOMIMNAL DE 500 V</t>
  </si>
  <si>
    <t>CURVA PVC 90G P/ ELETRODUTO ROSCAVEL 1 1/2"</t>
  </si>
  <si>
    <t>ELETRODUTO DE PVC ROSCÁVEL DE 1/2?, SEM LUVA</t>
  </si>
  <si>
    <t>ISOLADOR DE PORCELANA, TIPO PINO MONOCORPO, PARA TENSAO DE *15* KV</t>
  </si>
  <si>
    <t>ABRACADEIRA TIPO D 1/2" C/ PARAFUSO"</t>
  </si>
  <si>
    <t>PECA DE MADEIRA DE LEI *7,5 X 15* CM ( 3" X 6" ), NÃO APARELHADA, (P/TELHADO, ESTRUTURAS PERMANENTES)</t>
  </si>
  <si>
    <t>TUBO ACO GALV C/ COSTURA DIN 2440/NBR 5580 CLASSE MEDIA DN 2.1/2" (65MM) E=3,65MM - 6,51KG/M</t>
  </si>
  <si>
    <t>88264U</t>
  </si>
  <si>
    <t>ELETRICISTA COM ENCARGOS COMPLEMENTARES</t>
  </si>
  <si>
    <t>88316U</t>
  </si>
  <si>
    <t>CABO DE COBRE FLEXÍVEL DE 16 MM2, COM ISOLAMENTO ANTI-CHAMA 450/750 V</t>
  </si>
  <si>
    <t>PREÇO (mão-de-obra):</t>
  </si>
  <si>
    <t>PREÇO (material):</t>
  </si>
  <si>
    <t>PREÇO TOTAL (unit.):</t>
  </si>
  <si>
    <t>LS(%): 84,81</t>
  </si>
  <si>
    <t>BDI(%): 28,35</t>
  </si>
  <si>
    <t>ADM(%): 0,00</t>
  </si>
  <si>
    <t>TOTAL TAXA:</t>
  </si>
  <si>
    <t>PREÇO TOTAL UNIT. (c/ taxa):</t>
  </si>
  <si>
    <t>QUANTIDADE:</t>
  </si>
  <si>
    <t>PREÇO TOTAL (c/ taxa):</t>
  </si>
  <si>
    <t xml:space="preserve">CPU_IFAM.458 </t>
  </si>
  <si>
    <t>REGISTRO DE ESFERA, PVC, COM VOLANTE, VS, ROSCAVEL, DN 1/2", COM CORPO DIVIDIDO</t>
  </si>
  <si>
    <t>TORNEIRA PLASTICA DE MESA, BICA MOVEL, PARA COZINHA 1/2 "</t>
  </si>
  <si>
    <t>LUVA SOLDAVEL COM ROSCA, PVC, 20 MM X 1/2", PARA AGUA FRIA PREDIAL</t>
  </si>
  <si>
    <t>LUVA PVC SOLDAVEL, 20 MM, PARA AGUA FRIA PREDIAL</t>
  </si>
  <si>
    <t>88267U</t>
  </si>
  <si>
    <t>TUBO PVC, SOLDAVEL, DN 20 MM, AGUA FRIA (NBR-5648)</t>
  </si>
  <si>
    <t xml:space="preserve">CPU_IFAM.456 </t>
  </si>
  <si>
    <t>CHAPIM DE CONCRETO APARENTE COM ACABAMENTO DESEMPENADO, FORMA DE COMPENSADO PLASTIFICADO (MADEIRIT) DE 25CM DE LARGURA X 10 CM DE ALTURA, PRÉ-MOLDADO</t>
  </si>
  <si>
    <t xml:space="preserve">M </t>
  </si>
  <si>
    <t>TABUA DE MADEIRA NAO APARELHADA *2,5 X 10 CM (1 X 4 ") PINUS, MISTA OU EQUIVALENTE DA REGIAO</t>
  </si>
  <si>
    <t>CHAPA DE MADEIRA COMPENSADA PLASTIFICADA PARA FORMA DE CONCRETO, DE 2,20 x 1,10 M, E = 10 MM</t>
  </si>
  <si>
    <t>TELA DE ACO SOLDADA GALVANIZADA/ZINCADA PARA ALVENARIA, FIO D = *1,24 MM, MALHA 25 X 25 MM</t>
  </si>
  <si>
    <t>PREGO POLIDO COM CABECA 18 X 30</t>
  </si>
  <si>
    <t>88262U</t>
  </si>
  <si>
    <t>CARPINTEIRO DE FORMAS COM ENCARGOS COMPLEMENTARES</t>
  </si>
  <si>
    <t>88309U</t>
  </si>
  <si>
    <t>94963U</t>
  </si>
  <si>
    <t>CONCRETO FCK = 15MPA, TRAÇO 1:3,4:3,5 (CIMENTO/ AREIA MÉDIA/ BRITA 1) - PREPARO MECÂNICO COM BETONEIRA 400 L. AF_07/2016</t>
  </si>
  <si>
    <t xml:space="preserve"> ARGAMASSA TRAÇO 1:7 (CIMENTO E AREIA MÉDIA) COM ADIÇÃO DE PLASTIFICANTE PARA EMBOÇO/MASSA ÚNICA/ASSENTAMENTO DE ALVENARIA DE VEDAÇÃO, PREPARO MECÂNICO COM BETONEIRA 400 L. AF_06/2014 </t>
  </si>
  <si>
    <t>CANTONEIRA ACO ABAS IGUAIS (QUALQUER BITOLA), ESPESSURA ENTRE 1/8" E 1/4"</t>
  </si>
  <si>
    <t>MAT</t>
  </si>
  <si>
    <t>cantoneira1/4"x1.1/2"</t>
  </si>
  <si>
    <t>kg/m</t>
  </si>
  <si>
    <t>559</t>
  </si>
  <si>
    <t>BARRA DE FERRO RETANGULAR, BARRA CHATA, 2 X 1/4" (L X E), 2,53 KG/M</t>
  </si>
  <si>
    <t>COEF H</t>
  </si>
  <si>
    <t>13340</t>
  </si>
  <si>
    <t>PERFIL "U" CHAPA ACO DOBRADA, E = 3,04 MM , H = 20 CM, ABAS= 5 CM (4,47 KG/M)</t>
  </si>
  <si>
    <t>SERRALHEIRO</t>
  </si>
  <si>
    <t>POR M2</t>
  </si>
  <si>
    <t>TELA DE ARAME GALV QUADRANGULAR / LOSANGULAR, FIO 2,77 MM (12 BWG), MALHA 8 X 8 CM, H = 2 M</t>
  </si>
  <si>
    <t>SOLDADOR</t>
  </si>
  <si>
    <t>PISO EM CONCRETO 20MPA PREPARO MECANICO, ESPESSURA 7 CM, COM ARMACAO EM TELA SOLDADA</t>
  </si>
  <si>
    <t>SERV.</t>
  </si>
  <si>
    <t>SERVENTE</t>
  </si>
  <si>
    <t>ROLDANA CONCOVA DUPLA, EM CHAPA DE ACO, ROLAMENTO INTERNO BLINDADO DE ACO REVESTIDO EM NYLON, PARA PORTA DE CORRER</t>
  </si>
  <si>
    <t xml:space="preserve"> INVERSOR DE SOLDA MONOFÁSICO DE 160 A, POTÊNCIA DE 5400 W, TENSÃO DE 220 V, PARA SOLDA COM ELETRODOS DE 2,0 A 4,0 MM E PROCESSO TIG - CHP DIURNO. AF_06/2018 </t>
  </si>
  <si>
    <t>SOLDA</t>
  </si>
  <si>
    <t xml:space="preserve"> INVERSOR DE SOLDA MONOFÁSICO DE 160 A, POTÊNCIA DE 5400 W, TENSÃO DE 220 V , PARA SOLDA COM ELETRODOS DE 2,0 A 4,0 MM E PROCESSO TIG - CHI DIURNO. AF_06/2018</t>
  </si>
  <si>
    <t>10997</t>
  </si>
  <si>
    <t>ELETRODO AWS E-7018 (OK 48.04; WI 718) D=4MM (SOLDA ELETRICA</t>
  </si>
  <si>
    <t>MO</t>
  </si>
  <si>
    <t>SOLDADOR COM ENCARGOS COMPLEMENTARES</t>
  </si>
  <si>
    <t>SERRALHEIRO COM ENCARGOS COMPLEMENTARES</t>
  </si>
  <si>
    <t>PORTA CADEADO, 3 1/2", EM ACO ZINCADO, PRETO, PARA PORTAO E JANELA</t>
  </si>
  <si>
    <t>DOBRADICA EM ACO/FERRO, 3 1/2" X 3", E= 1,9 A 2 MM, COM ANEL, CROMADO OU ZINCADO, TAMPA BOLA, COM PARAFUSOS</t>
  </si>
  <si>
    <t>com base no sinapi 68328</t>
  </si>
  <si>
    <t>LIXA EM FOLHA PARA PAREDE OU MADEIRA, NUMERO 120 (COR VERMELHA)</t>
  </si>
  <si>
    <t>POLIESTIRENO EXPANDIDO/EPS (ISOPOR), TIPO 2F, PLACA, ISOLAMENTO TERMOACUSTICO, E = 20 MM, 1000 X 500 MM</t>
  </si>
  <si>
    <t xml:space="preserve">M2 </t>
  </si>
  <si>
    <t>COLA BRANCA BASE PVA</t>
  </si>
  <si>
    <t>L</t>
  </si>
  <si>
    <t>SELANTE ELASTICO MONOCOMPONENTE A BASE DE POLIURETANO PARA JUNTAS DIVERSAS</t>
  </si>
  <si>
    <t xml:space="preserve">310ML </t>
  </si>
  <si>
    <t>ESCAVAÇÃO MANUAL DE VALA COM PROFUNDIDADE MENOR OU IGUAL A 1,30 M. AF_03/2016</t>
  </si>
  <si>
    <t>DEMOLIÇÃO DE PILARES E VIGAS EM CONCRETO ARMADO, DE FORMA MECANIZADA COM MARTELETE, SEM REAPROVEITAMENTO. AF_12/2017</t>
  </si>
  <si>
    <t>EXEMPLO DE COMPOSIÇÃO 97661 SINAPI e ORSE 000037</t>
  </si>
  <si>
    <t>1,3 COM REAPROVEITAMENTO</t>
  </si>
  <si>
    <t>0,7 PARA PORCENTAGEM</t>
  </si>
  <si>
    <t>EXEMPLO DE COMPOSIÇÃO 74142/1 SINAPI</t>
  </si>
  <si>
    <t>CONCERTINA CLIPADA (DUPLA) EM ACO GALVANIZADO DE ALTA RESISTENCIA, COM ESPIRALROSCA SOBERBA, CABECA CHATA E FENDA PHILLIPS</t>
  </si>
  <si>
    <t>ABRACADEIRA DE LATAO PARA FIXACAO DE CABO PARA-RAIO, DIMENSOES 32 X 24 X 24 MM</t>
  </si>
  <si>
    <t>BUCHA DE NYLON SEM ABA S8, COM PARAFUSO DE 4,80 X 50 MM EM ACO ZINCADO COM</t>
  </si>
  <si>
    <t xml:space="preserve">TOTAL GERAL: </t>
  </si>
  <si>
    <t>COTAÇÃO</t>
  </si>
  <si>
    <t>ALVARA DE CONSTRUÇÃO (LÁBREA) DE 401,00 A 500,00 M²</t>
  </si>
  <si>
    <t>LAJE</t>
  </si>
  <si>
    <t>SUPERFICIE METALICA</t>
  </si>
  <si>
    <t>PLACAS E ACESSORIOS</t>
  </si>
  <si>
    <t>INCENDIO</t>
  </si>
  <si>
    <t>SINALIZAÇÃO DE EMERGÊNCIA</t>
  </si>
  <si>
    <t>INSTALAÇÕES PREDIAIS DE ÁGUA FRIA, ESGOTO E ÁGUAS PLUVIAIS</t>
  </si>
  <si>
    <t>AGUAS PLUVIAIS</t>
  </si>
  <si>
    <t>set-2019</t>
  </si>
  <si>
    <t>jul-2019</t>
  </si>
  <si>
    <t>B.D.I. Equip.:</t>
  </si>
  <si>
    <t xml:space="preserve">Obra: </t>
  </si>
  <si>
    <t>03.1</t>
  </si>
  <si>
    <t>04.1</t>
  </si>
  <si>
    <t>04.2</t>
  </si>
  <si>
    <t>04.3</t>
  </si>
  <si>
    <t>05.1.06</t>
  </si>
  <si>
    <t>05.1.07</t>
  </si>
  <si>
    <t>05.1.08</t>
  </si>
  <si>
    <t>05.1.09</t>
  </si>
  <si>
    <t>05.1.10</t>
  </si>
  <si>
    <t>05.2.09</t>
  </si>
  <si>
    <t>05.2.10</t>
  </si>
  <si>
    <t>05.2.11</t>
  </si>
  <si>
    <t>05.2.12</t>
  </si>
  <si>
    <t>06.1.03</t>
  </si>
  <si>
    <t>06.1.09</t>
  </si>
  <si>
    <t>06.2</t>
  </si>
  <si>
    <t>06.2.01</t>
  </si>
  <si>
    <t>06.2.02</t>
  </si>
  <si>
    <t>06.2.03</t>
  </si>
  <si>
    <t>06.2.04</t>
  </si>
  <si>
    <t>06.2.05</t>
  </si>
  <si>
    <t>06.2.06</t>
  </si>
  <si>
    <t>07.03</t>
  </si>
  <si>
    <t>07.04</t>
  </si>
  <si>
    <t>07.05</t>
  </si>
  <si>
    <t>08.01</t>
  </si>
  <si>
    <t>08.02</t>
  </si>
  <si>
    <t>08.03</t>
  </si>
  <si>
    <t>08.04</t>
  </si>
  <si>
    <t>08.05</t>
  </si>
  <si>
    <t>08.06</t>
  </si>
  <si>
    <t>08.07</t>
  </si>
  <si>
    <t>08.08</t>
  </si>
  <si>
    <t>08.09</t>
  </si>
  <si>
    <t>09.04</t>
  </si>
  <si>
    <t>09.05</t>
  </si>
  <si>
    <t>09.06</t>
  </si>
  <si>
    <t>09.07</t>
  </si>
  <si>
    <t>09.08</t>
  </si>
  <si>
    <t>11.1</t>
  </si>
  <si>
    <t>11.2</t>
  </si>
  <si>
    <t>12.04</t>
  </si>
  <si>
    <t>12.05</t>
  </si>
  <si>
    <t>12.06</t>
  </si>
  <si>
    <t>12.07</t>
  </si>
  <si>
    <t>12.08</t>
  </si>
  <si>
    <t>12.09</t>
  </si>
  <si>
    <t>12.10</t>
  </si>
  <si>
    <t>13.</t>
  </si>
  <si>
    <t>13.1.01</t>
  </si>
  <si>
    <t>13.1.02</t>
  </si>
  <si>
    <t>13.2.01</t>
  </si>
  <si>
    <t>13.3.01</t>
  </si>
  <si>
    <t>13.3.02</t>
  </si>
  <si>
    <t>13.3.03</t>
  </si>
  <si>
    <t>13.3.04</t>
  </si>
  <si>
    <t>14.</t>
  </si>
  <si>
    <t>14.01</t>
  </si>
  <si>
    <t>14.02</t>
  </si>
  <si>
    <t>14.03</t>
  </si>
  <si>
    <t>14.04</t>
  </si>
  <si>
    <t>14.05</t>
  </si>
  <si>
    <t>14.06</t>
  </si>
  <si>
    <t>14.07</t>
  </si>
  <si>
    <t>15.</t>
  </si>
  <si>
    <t>15.1</t>
  </si>
  <si>
    <t>15.1.2</t>
  </si>
  <si>
    <t>15.1.3</t>
  </si>
  <si>
    <t>15.1.4</t>
  </si>
  <si>
    <t>15.1.5</t>
  </si>
  <si>
    <t>15.1.6</t>
  </si>
  <si>
    <t>15.1.7</t>
  </si>
  <si>
    <t>16.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</si>
  <si>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</si>
  <si>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</si>
  <si>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</si>
  <si>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</si>
  <si>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</si>
  <si>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</si>
  <si>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</si>
  <si>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</si>
  <si>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</si>
  <si>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</si>
  <si>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</si>
  <si>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</si>
  <si>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</si>
  <si>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</si>
  <si>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</si>
  <si>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</si>
  <si>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</si>
  <si>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16.19</t>
  </si>
  <si>
    <t>16.20</t>
  </si>
  <si>
    <t>16.21</t>
  </si>
  <si>
    <t>16.22</t>
  </si>
  <si>
    <t>16.23</t>
  </si>
  <si>
    <t>16.24</t>
  </si>
  <si>
    <t>17.</t>
  </si>
  <si>
    <t>17.1</t>
  </si>
  <si>
    <t>17.1.01</t>
  </si>
  <si>
    <t>17.1.02</t>
  </si>
  <si>
    <t>17.1.03</t>
  </si>
  <si>
    <t>17.1.04</t>
  </si>
  <si>
    <t>18.</t>
  </si>
  <si>
    <t>INSTALAÇÕES DE GÁS (INCLUSIVE CENTRAL)</t>
  </si>
  <si>
    <t>CENTRAL DE GÁS</t>
  </si>
  <si>
    <t>19.</t>
  </si>
  <si>
    <t>19.1</t>
  </si>
  <si>
    <t>19.2</t>
  </si>
  <si>
    <t>19.3</t>
  </si>
  <si>
    <t>20.</t>
  </si>
  <si>
    <t>20.1</t>
  </si>
  <si>
    <t>20.2</t>
  </si>
  <si>
    <t>20.3</t>
  </si>
  <si>
    <t>20.4</t>
  </si>
  <si>
    <t>20.5</t>
  </si>
  <si>
    <t>20.6</t>
  </si>
  <si>
    <t>MUDAR PARA DESONERADO</t>
  </si>
  <si>
    <t>TOTAL  SEM B.D.I. (28,35%)</t>
  </si>
  <si>
    <t>TOTAL  COM B.D.I. (28,35%)</t>
  </si>
  <si>
    <t>CERÂMICA PAREDE</t>
  </si>
  <si>
    <t>MASSA PVA TETO</t>
  </si>
  <si>
    <t>TEXTURA ÁCRILICA</t>
  </si>
  <si>
    <t>SELADOR ACRILICO</t>
  </si>
  <si>
    <t>CHAPISCO DO TETO</t>
  </si>
  <si>
    <t>REBOCO DE TETO</t>
  </si>
  <si>
    <t>SELADOR TETO</t>
  </si>
  <si>
    <t>TINTA ACRILICA TETO</t>
  </si>
  <si>
    <t>MINISTÉRIO DA EDUCAÇÃO - MEC</t>
  </si>
  <si>
    <t>SECRETARIA DE EDUCAÇÃO MÉDIA  E TECNOLÓGICA - SEMTEC</t>
  </si>
  <si>
    <t>INSTITUTO FEDERAL DE EDUCAÇÃO, CIÊNCIA E TECNOLOGIA DO AMAZONAS - IFAM</t>
  </si>
  <si>
    <t>PRO-REITORIA DE DESENVOLVIMENTO INSTITUCIONAL - PRODIN</t>
  </si>
  <si>
    <r>
      <t xml:space="preserve">Obra: </t>
    </r>
    <r>
      <rPr>
        <i/>
        <sz val="10"/>
        <color indexed="8"/>
        <rFont val="Arial"/>
        <family val="2"/>
      </rPr>
      <t>Reforma e Ampliação do Refeitório do Campus Manacapuru</t>
    </r>
  </si>
  <si>
    <r>
      <rPr>
        <b/>
        <i/>
        <sz val="10"/>
        <color indexed="8"/>
        <rFont val="Arial"/>
        <family val="2"/>
      </rPr>
      <t>Endereço</t>
    </r>
    <r>
      <rPr>
        <i/>
        <sz val="10"/>
        <color indexed="8"/>
        <rFont val="Arial"/>
        <family val="2"/>
      </rPr>
      <t>: Rua Waldemar Ventura, s/nº, São José. Manacapuru/AM. CEP: 69400-000</t>
    </r>
  </si>
  <si>
    <t>DEPARTAMENTO DE INFRAESTRUTURA</t>
  </si>
  <si>
    <t>CONFORME SINAPI 94216</t>
  </si>
  <si>
    <t xml:space="preserve"> TELHAMENTO COM TELHA METÁLICA TERMOACÚSTICA E = 30 MM, COM ATÉ 2 ÁGUAS, INCLUSO IÇAMENTO. AF_07/2019</t>
  </si>
  <si>
    <t>11029</t>
  </si>
  <si>
    <t>HASTE RETA PARA GANCHO DE FERRO GALVANIZADO, COM ROSCA 1/4 " X 30 CM PARA FIXACAO DE TELHA METALICA, INCLUI PORCA E ARRUELAS DE VEDACAO</t>
  </si>
  <si>
    <t>TELHA GALVALUME COM ISOLAMENTO TERMOACUSTICO EM ESPUMA RIGIDA DE POLIURETANO (PU) INJETADO, ESPESSURA DE 30 MM, DENSIDADE DE 35 KG/M3, COM DUAS FACES TRAPEZOIDAIS, ACABAMENTO NATURAL (NAO INCLUI ACESSORIOS DE FIXACAO) (COLETADO CAIXA)</t>
  </si>
  <si>
    <t>88323</t>
  </si>
  <si>
    <t>TELHADISTA COM ENCARGOS COMPLEMENTARES</t>
  </si>
  <si>
    <t>93281</t>
  </si>
  <si>
    <t>GUINCHO ELÉTRICO DE COLUNA, CAPACIDADE 400 KG, COM MOTO FREIO, MOTOR TRIFÁSICO DE 1,25 CV - CHP DIURNO. AF_03/2016</t>
  </si>
  <si>
    <t>93282</t>
  </si>
  <si>
    <t>GUINCHO ELÉTRICO DE COLUNA, CAPACIDADE 400 KG, COM MOTO FREIO, MOTOR TRIFÁSICO DE 1,25 CV - CHI DIURNO. AF_03/2016</t>
  </si>
  <si>
    <t>ESPEC</t>
  </si>
  <si>
    <t>CÓD SINAPI</t>
  </si>
  <si>
    <t>QUANT</t>
  </si>
  <si>
    <t>ALVENARIA DE VEDAÇÃO DE BLOCOS CERÂMICOS FURADOS NA HORIZONTAL DE 9X19X19CM (ESPESSURA 9CM) DE PAREDES COM ÁREA LÍQUIDA MENOR QUE 6M² SEM VÃOS E ARGAMASSA DE ASSENTAMENTO COM PREPARO EM BETONEIRA. AF_06/2014</t>
  </si>
  <si>
    <t>87495U</t>
  </si>
  <si>
    <t>ALVENARIA DE VEDAÇÃO DE BLOCOS CERÂMICOS FURADOS NA HORIZONTAL DE 9X19X19CM (ESPESSURA 9CM) DE PAREDES COM ÁREA LÍQUIDA MAIOR OU IGUAL A 6M² SEM VÃOS E ARGAMASSA DE ASSENTAMENTO COM PREPARO EM BETONEIRA. AF_06/2014</t>
  </si>
  <si>
    <t>87503U</t>
  </si>
  <si>
    <t>ALVENARIA DE VEDAÇÃO DE BLOCOS CERÂMICOS FURADOS NA HORIZONTAL DE 9X19X19CM (ESPESSURA 9CM) DE PAREDES COM ÁREA LÍQUIDA MENOR QUE 6M² COM VÃOS E ARGAMASSA DE ASSENTAMENTO COM PREPARO EM BETONEIRA. AF_06/2014</t>
  </si>
  <si>
    <t>87511U</t>
  </si>
  <si>
    <t>ALVENARIA DE VEDAÇÃO DE BLOCOS CERÂMICOS FURADOS NA HORIZONTAL DE 9X19X19CM (ESPESSURA 9CM) DE PAREDES COM ÁREA LÍQUIDA MAIOR OU IGUAL A 6M² COM VÃOS E ARGAMASSA DE ASSENTAMENTO COM PREPARO EM BETONEIRA. AF_06/2014</t>
  </si>
  <si>
    <t>87519U</t>
  </si>
  <si>
    <t>VERGA PRÉ-MOLDADA PARA JANELAS COM ATÉ 1,5 M DE VÃO. AF_03/2016</t>
  </si>
  <si>
    <t>93182U</t>
  </si>
  <si>
    <t xml:space="preserve">VERGA PRÉ-MOLDADA PARA JANELAS COM MAIS DE 1,5 M DE VÃO. AF_03/2016 </t>
  </si>
  <si>
    <t>93183U</t>
  </si>
  <si>
    <t>VERGA PRÉ-MOLDADA PARA PORTAS COM ATÉ 1,5 M DE VÃO. AF_03/2016</t>
  </si>
  <si>
    <t>93184U</t>
  </si>
  <si>
    <t xml:space="preserve">VERGA PRÉ-MOLDADA PARA PORTAS COM MAIS DE 1,5 M DE VÃO. AF_03/2016 </t>
  </si>
  <si>
    <t>93185U</t>
  </si>
  <si>
    <t>CONTRAVERGA PRÉ-MOLDADA PARA VÃOS DE ATÉ 1,5 M DE COMPRIMENTO. AF_03/2016</t>
  </si>
  <si>
    <t>93194U</t>
  </si>
  <si>
    <t>08.10</t>
  </si>
  <si>
    <t>CONTRAVERGA PRÉ-MOLDADA PARA VÃOS DE MAIS DE 1,5 M DE COMPRIMENTO. AF_03/2016</t>
  </si>
  <si>
    <t>93195U</t>
  </si>
  <si>
    <t>08.11</t>
  </si>
  <si>
    <t>93201U</t>
  </si>
  <si>
    <t>08.12</t>
  </si>
  <si>
    <t>PEITORIL DE GRANITO</t>
  </si>
  <si>
    <t>COMP IFAM</t>
  </si>
  <si>
    <t>CJ</t>
  </si>
  <si>
    <t>4,1500000</t>
  </si>
  <si>
    <t>1,62</t>
  </si>
  <si>
    <t>1,1460000</t>
  </si>
  <si>
    <t>COMPOSICAO</t>
  </si>
  <si>
    <t>0,0620000</t>
  </si>
  <si>
    <t>14,40</t>
  </si>
  <si>
    <t>0,0560000</t>
  </si>
  <si>
    <t>21,72</t>
  </si>
  <si>
    <t>0,0009000</t>
  </si>
  <si>
    <t>18,34</t>
  </si>
  <si>
    <t>0,0012000</t>
  </si>
  <si>
    <t>17,39</t>
  </si>
  <si>
    <t>08.13</t>
  </si>
  <si>
    <t>ALVENARIA DE VEDAÇÃO DE BLOCOS CERÂMICOS FURADOS NA VERTICAL DE 19X19X39CM (ESPESSURA 19CM) DE PAREDES COM ÁREA LÍQUIDA MENOR QUE 6M² SEM VÃOS E ARGAMASSA DE ASSENTAMENTO COM PREPARO EM BETONEIRA. AF_06/2014</t>
  </si>
  <si>
    <t>87475U</t>
  </si>
  <si>
    <t>FORNECIMENTO DE ARGILA, ARGILA VERMELHA OU ARGILA ARENOSA (RETIRADA NA JAZIDA, SEM TRANSPORTE), EMPOLADA (30%)</t>
  </si>
  <si>
    <t>CPU01_Refeitório de Manacapuru - BASE ( SINAPI -00006079)</t>
  </si>
  <si>
    <t>ARGILA, ARGILA VERMELHA OU ARGILA ARENOSA (RETIRADA NA JAZIDA, SEM TRANSPORTE)</t>
  </si>
  <si>
    <t>ALVENARIA DE VEDAÇÃO DE BLOCOS CERÂMICOS FURADOS NA VERTICAL DE 14X19X39 CM (ESPESSURA 14 CM) E ARGAMASSA DE ASSENTAMENTO COM PREPARO EM BETONEIRA. AF_12/2021</t>
  </si>
  <si>
    <t>ALVENARIA DE VEDAÇÃO DE BLOCOS CERÂMICOS FURADOS NA HORIZONTAL DE 9X19X19 CM (ESPESSURA 9 CM) E ARGAMASSA DE ASSENTAMENTO COM PREPARO EM BETONEIRA. AF_12/2021</t>
  </si>
  <si>
    <t>ALVENARIA DE VEDAÇÃO DE BLOCOS CERÂMICOS FURADOS NA VERTICAL DE 19X19X39 CM (ESPESSURA 19 CM) E ARGAMASSA DE ASSENTAMENTO COM PREPARO EM BETONEIRA. AF_12/2021</t>
  </si>
  <si>
    <t>DIVISORIA SANITÁRIA, TIPO CABINE, EM GRANITO CINZA POLIDO, ESP = 3CM, ASSENTADO COM ARGAMASSA COLANTE AC III-E, EXCLUSIVE FERRAGENS. AF_01/2021</t>
  </si>
  <si>
    <t>TAPA VISTA DE MICTÓRIO EM GRANITO CINZA POLIDO, ESP = 3CM, ASSENTADO COM ARGAMASSA COLANTE AC III-E . AF_01/2021</t>
  </si>
  <si>
    <t>ALVENARIA DE VEDAÇÃO COM ELEMENTO VAZADO DE CONCRETO (COBOGÓ) DE 7X50X50CM E ARGAMASSA DE ASSENTAMENTO COM PREPARO EM BETONEIRA. AF_05/2020</t>
  </si>
  <si>
    <t>NÃO</t>
  </si>
  <si>
    <t xml:space="preserve">	FIXAÇÃO (ENCUNHAMENTO) DE ALVENARIA DE VEDAÇÃO COM TIJOLO MACIÇO. AF_03/2024</t>
  </si>
  <si>
    <t>P = 405,13 / H = 2,10 / (A= P x H) =&gt; 405,13 x 2,1 =  850,80 m²</t>
  </si>
  <si>
    <t>Refeitório/Escritório</t>
  </si>
  <si>
    <t>PAREDE DE MADEIRA COMPENSADA PARA CONSTRUÇÃO TEMPORÁRIA EM CHAPA SIMPLES, EXTERNA, COM ÁREA LÍQUIDA MAIOR OU IGUAL A 6 M², COM VÃO. AF_03/2024</t>
  </si>
  <si>
    <t>Escritório/Almoxarifado</t>
  </si>
  <si>
    <t>PAREDE DE MADEIRA COMPENSADA PARA CONSTRUÇÃO TEMPORÁRIA EM CHAPA SIMPLES, EXTERNA, SEM VÃO. AF_03/2024</t>
  </si>
  <si>
    <t>Almoxarifado/Vestiário</t>
  </si>
  <si>
    <t xml:space="preserve">	PAREDE DE MADEIRA COMPENSADA PARA CONSTRUÇÃO TEMPORÁRIA EM CHAPA SIMPLES, INTERNA, SEM VÃO. AF_03/2024</t>
  </si>
  <si>
    <t xml:space="preserve">	98443</t>
  </si>
  <si>
    <t>Refeitório/ externo Fundos</t>
  </si>
  <si>
    <t>Escritório/ externo Fundos</t>
  </si>
  <si>
    <t>Refeitório/ externo Frontal</t>
  </si>
  <si>
    <t>Almoxarifado/ externo Fundos</t>
  </si>
  <si>
    <t>Almoxarifado/ externo Frente</t>
  </si>
  <si>
    <t>Escritório/ externo Frontal</t>
  </si>
  <si>
    <t>Vestiário/ externo Frente</t>
  </si>
  <si>
    <t>Vestiário/ externo Fundos</t>
  </si>
  <si>
    <t>paredes internas banheiros</t>
  </si>
  <si>
    <t>P=1,20/ H=2,80/ A=(P X H) x Quant. = &gt; (1,20x2,80)= 3,24 x 4 =12,96 m2</t>
  </si>
  <si>
    <t xml:space="preserve">P=5,40/ H=2,80 / A=(P X H) - VÃO =&gt;5,40x2,80 - (2,10x0,80 + 1x1) = 12,44m2 </t>
  </si>
  <si>
    <t>P=4,30/ H=2,80 / A=(P X H) - VÃO =&gt;4,30x2,80 - (2,10x0,80x2+1x1 ) = 9,36 m2</t>
  </si>
  <si>
    <t>P=5,40/ H=2,80 / A=(P X H) - VÃO =&gt;5,40x2,80 - (2x 1x1) =13,12m2</t>
  </si>
  <si>
    <t>P=4,30/ H=2,80 / A=(P X H) - VÃO =&gt;4,30x2,80 - (1x1 ) = 11,04 m2</t>
  </si>
  <si>
    <t>P=5,15/ H=2,80 / A=(P X H) - VÃO =&gt;5,15x2,80 - (2,10x0,80) = 12,74 m2</t>
  </si>
  <si>
    <t>P=5,15/ H=2,80 / A=(P X H) - VÃO =&gt;5,15x2,80 - (5 UNDX0,3X0,3 ) = 13,97 m2</t>
  </si>
  <si>
    <t>PAREDE DE MADEIRA COMPENSADA PARA CONSTRUÇÃO TEMPORÁRIA EM CHAPA DUPLA, EXTERNA, COM ÁREA LÍQUIDA MENOR QUE 6 M², COM VÃO. AF_03/2024</t>
  </si>
  <si>
    <t xml:space="preserve">PAREDE DE MADEIRA COMPENSADA PARA CONSTRUÇÃO TEMPORÁRIA EM CHAPA SIMPLES, INTERNA, COM ÁREA LÍQUIDA MENOR QUE 6 M², COM VÃO. AF_03/2024	</t>
  </si>
  <si>
    <t>Refeitório/Externo lateral direito</t>
  </si>
  <si>
    <t>Vestiário/Externo lateral esquerdo</t>
  </si>
  <si>
    <t>P = 3,10/ H = 2,80 / (A= P x H) =&gt;3,10 x 2,8 =  8,68 m²</t>
  </si>
  <si>
    <t>P = 3,10/ H = 2,80 / (A= P x H) =&gt;3,10 x 2,8=  8,68 m²</t>
  </si>
  <si>
    <t>P = 3,10/ H = 2,80 / (A= P x H) =&gt;3,10 x 2,80 =  8,68 m²</t>
  </si>
  <si>
    <t>P =3,10/ H = 2,80/ (A= P x H) =&gt;3,10 x 2,80 =  8,68 m²</t>
  </si>
  <si>
    <t>P=2,00/ H=2,80 / A=(P X H) - VÃO =&gt;2,00x2,80 - (2,10x0,80 ) = 3,92 M2</t>
  </si>
  <si>
    <t>P=2,00/ H=2,80 / A=(P X H) - VÃO =&gt;2,00x2,80 - (1,00x1,00 ) = 4,60 m2</t>
  </si>
  <si>
    <t>5 janelas de 0,3 x 0,3 banheiros</t>
  </si>
  <si>
    <t>JANELA DE ALUMÍNIO TIPO MAXIM-AR, COM VIDROS, BATENTE E FERRAGENS. EXCLUSIVE ALIZAR, ACABAMENTO E CONTRAMARCO. FORNECIMENTO E INSTALAÇÃO. AF_12/2019</t>
  </si>
  <si>
    <t>ANELA DE ALUMÍNIO DE CORRER COM 2 FOLHAS PARA VIDROS, COM VIDROS, BATENTE, ACABAMENTO COM ACETATO OU BRILHANTE E FERRAGENS. EXCLUSIVE ALIZAR E CONTRAMARCO. FORNECIMENTO E INSTALAÇÃO. AF_12/2019</t>
  </si>
  <si>
    <t xml:space="preserve">6 JANELAS DE 1 X 1 </t>
  </si>
  <si>
    <t>PORTA DE MADEIRA PARA PINTURA, SEMI-OCA (LEVE OU MÉDIA), 80X210CM, ESPESSURA DE 3,5CM, INCLUSO DOBRADIÇAS - FORNECIMENTO E INSTALAÇÃO. AF_12/2019</t>
  </si>
  <si>
    <t>4 PORTAS 0,80X2,10</t>
  </si>
  <si>
    <t>PORTA DE MADEIRA PARA PINTURA, SEMI-OCA (LEVE OU MÉDIA), 60X210CM, ESPESSURA DE 3,5CM, INCLUSO DOBRADIÇAS - FORNECIMENTO E INSTALAÇÃO. AF_12/2019</t>
  </si>
  <si>
    <t>4 PORTAS 0,60X2,10</t>
  </si>
  <si>
    <t>TELHAMENTO COM TELHA DE AÇO/ALUMÍNIO E = 0,5 MM, COM ATÉ 2 ÁGUAS, INCLUSO IÇAMENTO. AF_07/2019</t>
  </si>
  <si>
    <t>Canteiro</t>
  </si>
  <si>
    <t>Montagem de forma</t>
  </si>
  <si>
    <t>Area = C X L = 3,00 X 1,00 = 3,00 m2</t>
  </si>
  <si>
    <t>Area = C X L = 16,90 X 3,10 = 52,39 m2</t>
  </si>
  <si>
    <t>Armação</t>
  </si>
  <si>
    <t>Area = C X L = 6,00 X 1,00 = 6,00 m2</t>
  </si>
  <si>
    <t>TRAMA DE MADEIRA COMPOSTA POR TERÇAS PARA TELHADOS DE ATÉ 2 ÁGUAS PARA TELHA ONDULADA DE FIBROCIMENTO, METÁLICA, PLÁSTICA OU TERMOACÚSTICA, INCLUSO TRANSPORTE VERTICAL. AF_07/2019</t>
  </si>
  <si>
    <t>LAVATÓRIO LOUÇA BRANCA COM COLUNA, *44 X 35,5* CM, PADRÃO POPULAR, INCLUSO SIFÃO FLEXÍVEL EM PVC, VÁLVULA E ENGATE FLEXÍVEL 30CM EM PLÁSTICO E COM TORNEIRA CROMADA PADRÃO POPULAR - FORNECIMENTO E INSTALAÇÃO. AF_01/2020</t>
  </si>
  <si>
    <t>2 LOUÇAS VESTIARIO + 1 LOUÇA REFEITORIO</t>
  </si>
  <si>
    <t>VASO SANITÁRIO SIFONADO COM CAIXA ACOPLADA LOUÇA BRANCA, INCLUSO ENGATE FLEXÍVEL EM PLÁSTICO BRANCO, 1/2 X 40CM - FORNECIMENTO E INSTALAÇÃO . AF_01/2020</t>
  </si>
  <si>
    <t>2 VASOS VESTIÁRIO</t>
  </si>
  <si>
    <t>2 CHUVEIROS</t>
  </si>
  <si>
    <t>TUBO, PVC, SOLDÁVEL, DE 25MM, INSTALADO EM RAMAL OU SUB-RAMAL DE ÁGUA - FORNECIMENTO E INSTALAÇÃO. AF_06/2022</t>
  </si>
  <si>
    <t>TUBO, PVC, SOLDÁVEL, DE 32MM, INSTALADO EM RAMAL OU SUB-RAMAL DE ÁGUA - FORNECIMENTO E INSTALAÇÃO. AF_06/2022T</t>
  </si>
  <si>
    <t>REGISTRO DE ESFERA, PVC, ROSCÁVEL, COM BORBOLETA, 3/4" - FORNECIMENTO E INSTALAÇÃO. AF_08/2021</t>
  </si>
  <si>
    <t>TÊ DE REDUÇÃO, PVC, SOLDÁVEL, DN 32MM X 25MM, INSTALADO EM RAMAL OU SUB-RAMAL DE ÁGUA - FORNECIMENTO E INSTALAÇÃO. AF_06/2022</t>
  </si>
  <si>
    <t>CURVA 90 GRAUS, PVC, SOLDÁVEL, DN 32MM, INSTALADO EM RAMAL OU SUB-RAMAL DE ÁGUA - FORNECIMENTO E INSTALAÇÃO. AF_06/2022</t>
  </si>
  <si>
    <t>LUVA DE REDUÇÃO, PVC, SOLDÁVEL, DN 32MM X 25MM, INSTALADO EM RAMAL OU SUB-RAMAL DE ÁGUA - FORNECIMENTO E INSTALAÇÃO. AF_06/2022</t>
  </si>
  <si>
    <t>CURVA 90 GRAUS, PVC, SOLDÁVEL, DN 25MM, INSTALADO EM RAMAL OU SUB-RAMAL DE ÁGUA - FORNECIMENTO E INSTALAÇÃO. AF_06/2022</t>
  </si>
  <si>
    <t xml:space="preserve">	89714</t>
  </si>
  <si>
    <t>TUBO PVC, SERIE NORMAL, ESGOTO PREDIAL, DN 100 MM, FORNECIDO E INSTALADO EM RAMAL DE DESCARGA OU RAMAL DE ESGOTO SANITÁRIO. AF_08/2022</t>
  </si>
  <si>
    <t>TUBO PVC, SERIE NORMAL, ESGOTO PREDIAL, DN 50 MM, FORNECIDO E INSTALADO EM RAMAL DE DESCARGA OU RAMAL DE ESGOTO SANITÁRIO. AF_08/2022</t>
  </si>
  <si>
    <t>RALO SECO, PVC, DN 100 X 40 MM, JUNTA SOLDÁVEL, FORNECIDO E INSTALADO EM RAMAL DE DESCARGA OU EM RAMAL DE ESGOTO SANITÁRIO. AF_08/2022</t>
  </si>
  <si>
    <t>RALO SIFONADO REDONDO, PVC, DN 100 X 40 MM, JUNTA SOLDÁVEL, FORNECIDO E INSTALADO EM RAMAL DE DESCARGA OU EM RAMAL DE ESGOTO SANITÁRIO. AF_08/2022</t>
  </si>
  <si>
    <t xml:space="preserve">	JOELHO 45 GRAUS, PVC, SERIE NORMAL, ESGOTO PREDIAL, DN 50 MM, JUNTA ELÁSTICA, FORNECIDO E INSTALADO EM RAMAL DE DESCARGA OU RAMAL DE ESGOTO SANITÁRIO. AF_08/2022</t>
  </si>
  <si>
    <t xml:space="preserve">	89744</t>
  </si>
  <si>
    <t>JOELHO 90 GRAUS, PVC, SERIE NORMAL, ESGOTO PREDIAL, DN 100 MM, JUNTA ELÁSTICA, FORNECIDO E INSTALADO EM RAMAL DE DESCARGA OU RAMAL DE ESGOTO SANITÁRIO. AF_08/2022</t>
  </si>
  <si>
    <t>CAIXA SIFONADA, PVC, DN 100 X 100 X 50 MM, JUNTA ELÁSTICA, FORNECIDA E INSTALADA EM RAMAL DE DESCARGA OU EM RAMAL DE ESGOTO SANITÁRIO. AF_08/2022</t>
  </si>
  <si>
    <t>JOELHO 90 GRAUS, PVC, SERIE NORMAL, ESGOTO PREDIAL, DN 50 MM, JUNTA ELÁSTICA, FORNECIDO E INSTALADO EM RAMAL DE DESCARGA OU RAMAL DE ESGOTO SANITÁRIO. AF_08/2022</t>
  </si>
  <si>
    <t>JUNÇÃO SIMPLES, PVC, SERIE NORMAL, ESGOTO PREDIAL, DN 100 X 100 MM, JUNTA ELÁSTICA, FORNECIDO E INSTALADO EM RAMAL DE DESCARGA OU RAMAL DE ESGOTO SANITÁRIO. AF_08/2022</t>
  </si>
  <si>
    <t>JUNCAO SIMPLES, PVC, DN 100 X 50 MM, SERIE NORMAL PARA ESGOTO PREDIAL FORNECIMENTO E INSTALAÇÃO</t>
  </si>
  <si>
    <t>JUNÇÃO DE REDUÇÃO INVERTIDA, PVC, SÉRIE NORMAL, ESGOTO PREDIAL, DN 100 X 50 MM, JUNTA ELÁSTICA, FORNECIDO E INSTALADO EM RAMAL DE DESCARGA OU RAMAL DE ESGOTO SANITÁRIO. AF_08/2022</t>
  </si>
  <si>
    <t>VERGA PRÉ-MOLDADA COM ATÉ 1,5 M DE VÃO, ESPESSURA DE *15* CM. AF_03/2024</t>
  </si>
  <si>
    <t>VERGA MOLDADA IN LOCO EM CONCRETO, ESPESSURA DE *15* CM. AF_03/2024</t>
  </si>
  <si>
    <t>CONTRAVERGA PRÉ-MOLDADA, ESPESSURA DE *15* CM. AF_03/2024</t>
  </si>
  <si>
    <t>CHAPISCO APLICADO EM ALVENARIA (COM PRESENÇA DE VÃOS) E ESTRUTURAS DE CONCRETO DE FACHADA, COM COLHER DE PEDREIRO. ARGAMASSA TRAÇO 1:3 COM PREPARO EM BETONEIRA 400L. AF_10/2022</t>
  </si>
  <si>
    <t>CHAPISCO APLICADO EM ALVENARIA (SEM PRESENÇA DE VÃOS) E ESTRUTURAS DE CONCRETO DE FACHADA, COM COLHER DE PEDREIRO. ARGAMASSA TRAÇO 1:3 COM PREPARO EM BETONEIRA 400L. AF_10/2022</t>
  </si>
  <si>
    <t>MASSA ÚNICA, EM ARGAMASSA TRAÇO 1:2:8, PREPARO MECÂNICO, APLICADA MANUALMENTE EM PAREDES INTERNAS DE AMBIENTES COM ÁREA ENTRE 5M² E 10M², E = 10MM, COM TALISCAS. AF_03/2024</t>
  </si>
  <si>
    <t>MASSA ÚNICA, EM ARGAMASSA TRAÇO 1:2:8 PREPARO MECÂNICO, APLICADA MANUALMENTE EM PAREDES INTERNAS DE AMBIENTES COM ÁREA MAIOR QUE 10M², E = 10MM, COM TALISCAS. AF_03/2024</t>
  </si>
  <si>
    <t xml:space="preserve">	EMBOÇO, EM ARGAMASSA TRAÇO 1:2:8, PREPARO MANUAL, APLICADO MANUALMENTE EM PAREDES INTERNAS, PARA AMBIENTES COM ÁREA MENOR QUE 5M², E = 10MM, COM TALISCAS. AF_03/2024</t>
  </si>
  <si>
    <t>EMBOÇO, EM ARGAMASSA TRAÇO 1:2:8, PREPARO MECÂNICO, APLICADO MANUALMENTE EM PAREDES INTERNAS DE AMBIENTES COM ÁREA ENTRE 5M² E 10M², E = 10MM, COM TALISCAS. AF_03/2024</t>
  </si>
  <si>
    <t>EMBOÇO, EM ARGAMASSA TRAÇO 1:2:8, PREPARO MECÂNICO, APLICADO MANUALMENTE EM PAREDES INTERNAS DE AMBIENTES COM ÁREA MAIOR QUE 10M², E = 10MM, COM TALISCAS. AF_03/2024</t>
  </si>
  <si>
    <r>
      <t>EMBOÇO OU MASSA ÚNICA EM ARGAMASSA TRAÇO 1:2:8, PREPARO MECÂNICO COM BETONEIRA 400 L, APLICADA MANUALMENTE EM PANOS CEGOS DE FACHADA (</t>
    </r>
    <r>
      <rPr>
        <b/>
        <i/>
        <sz val="10"/>
        <rFont val="Arial"/>
        <family val="2"/>
      </rPr>
      <t>SEM PRESENÇA DE VÃOS)</t>
    </r>
    <r>
      <rPr>
        <i/>
        <sz val="10"/>
        <color rgb="FF000000"/>
        <rFont val="Arial"/>
        <family val="2"/>
      </rPr>
      <t>, ESPESSURA DE 25 MM. AF_08/2022</t>
    </r>
  </si>
  <si>
    <t>EMBOÇO OU MASSA ÚNICA EM ARGAMASSA TRAÇO 1:2:8, PREPARO MECÂNICO COM BETONEIRA 400 L, APLICADA MANUALMENTE EM PANOS DE FACHADA COM PRESENÇA DE VÃOS, ESPESSURA DE 25 MM. AF_08/2022</t>
  </si>
  <si>
    <t>FUNDO SELADOR ACRÍLICO, APLICAÇÃO MANUAL EM PAREDE, UMA DEMÃO. AF_04/2023</t>
  </si>
  <si>
    <t>EMASSAMENTO COM MASSA LÁTEX, APLICAÇÃO EM PAREDE, DUAS DEMÃOS, LIXAMENTO MANUAL. AF_04/2023</t>
  </si>
  <si>
    <t>APLICAÇÃO MANUAL DE MASSA ACRÍLICA EM PAREDES EXTERNAS DE CASAS, DUAS DEMÃOS. AF_03/2024</t>
  </si>
  <si>
    <t>REVESTIMENTO CERÂMICO PARA PAREDES INTERNAS COM PLACAS TIPO ESMALTADA DE DIMENSÕES 33X45 CM APLICADAS NA ALTURA INTEIRA DAS PAREDES. AF_02/2023_PE</t>
  </si>
  <si>
    <t xml:space="preserve">	PINTURA LÁTEX ACRÍLICA PREMIUM, APLICAÇÃO MANUAL EM PAREDES, DUAS DEMÃOS. AF_04/2023</t>
  </si>
  <si>
    <t>CANTEIRO DE OBRAS</t>
  </si>
  <si>
    <t>CPU_MAC.001</t>
  </si>
  <si>
    <t>CPU_MCR.002</t>
  </si>
  <si>
    <t>TAPUME COM TELHA METÁLICA. AF_03/2024_COM ATÉ 3 REUTILIZAÇÕES</t>
  </si>
  <si>
    <t>CPU_MCR.003</t>
  </si>
  <si>
    <t>CHUVEIRO COMUM CORPO PLASTICO TIPO DUCHA, FORNECIMENTO E INSTALACAO</t>
  </si>
  <si>
    <t>REGISTRO DE ESFERA, PVC, SOLDÁVEL, DN  32 MM, FORNECIMENTO E INSTALAÇÃO</t>
  </si>
  <si>
    <t>CPU_MCR.004</t>
  </si>
  <si>
    <t>CPU_MCR.005</t>
  </si>
  <si>
    <t>CPU_MCR.006</t>
  </si>
  <si>
    <t>CPU_MCR.007</t>
  </si>
  <si>
    <t>JANELA DE ALUMÍNIO - JA-1 - 210 X 130 CM COMPLETA, CONFORME PROJETO DE ESQUADRIAS - GUILHOTINA - INCLUSO VIDRO (UN)</t>
  </si>
  <si>
    <t>CPU_MCR.008</t>
  </si>
  <si>
    <t>CPU_MCR.009</t>
  </si>
  <si>
    <t>CPU_MCR.010</t>
  </si>
  <si>
    <t>CPU_MCR.011</t>
  </si>
  <si>
    <t>CPU_MCR.012</t>
  </si>
  <si>
    <t>CPU_MCR.013</t>
  </si>
  <si>
    <t>CPU_MCR.014</t>
  </si>
  <si>
    <t>CPU_MCR.015</t>
  </si>
  <si>
    <t>CPU_MCR.016</t>
  </si>
  <si>
    <t>CPU_MCR.017</t>
  </si>
  <si>
    <t>CPU_MCR.018</t>
  </si>
  <si>
    <t>CPU_MCR.019</t>
  </si>
  <si>
    <t>CPU_MCR.020</t>
  </si>
  <si>
    <t>CPU_MCR.021</t>
  </si>
  <si>
    <t>JANELA DE ALUMÍNIO - JA-2 - 150 X 140 CM COMPLETA, CONFORME PROJETO DE ESQUADRIAS - CORRER - INCLUSO VIDRO (UN)</t>
  </si>
  <si>
    <t>JANELA DE ALUMÍNIO - JA-4 - 280 X 185 CM COMPLETA, CONFORME PROJETO DE ESQUADRIAS - CORRER COM BANDEIRA - INCLUSO VIDRO MONILÍTICO (UN)</t>
  </si>
  <si>
    <t>JANELA DE ALUMÍNIO - JA-5 - 350 X 185 CM COMPLETA, CONFORME PROJETO DE ESQUADRIAS - CORRER COM BANDEIRA - INCLUSO VIDRO(UN)</t>
  </si>
  <si>
    <t>JANELA DE ALUMÍNIO - JA-6 - 350 X 120 CM COMPLETA, CONFORME PROJETO DE ESQUADRIAS - FIXA - INCLUSO VIDRO(UN)</t>
  </si>
  <si>
    <t>JANELA DE ALUMÍNIO - JA-7 - 280 X 230 CM COMPLETA, CONFORME PROJETO DE ESQUADRIAS - FIXA COM BANDEIRA - INCLUSO VIDRO (UN)</t>
  </si>
  <si>
    <t>JANELA DE ALUMÍNIO - JA-8, 700 X 230 CM COMPLETA, CONFORME PROJETO DE ESQUADRIAS - FIXA COM BANDEIRA - INCLUSO VIDRO (UN)</t>
  </si>
  <si>
    <t>JANELA DE ALUMÍNIO - JA-9 - 85 X 210 CM COMPLETA, CONFORME PROJETO DE ESQUADRIAS MAXIM-AR - INCLUSO VIDRO (UN)</t>
  </si>
  <si>
    <t>JANELA DE ALUMÍNIO - JA-10 - 150 X 60 CM COMPLETA, CONFORME PROJETO DE ESQUADRIAS - MAXIM-AR - INCLUSO VIDRO (UN)</t>
  </si>
  <si>
    <t>JANELA DE ALUMÍNIO - JA-11 - 150 X 80 CM COMPLETA, CONFORME PROJETO DE ESQUADRIAS - MAXIM-AR - INCLUSO VIDRO (UN)</t>
  </si>
  <si>
    <t xml:space="preserve"> JANELA DE ALUMÍNIO - JA-12 - 280 X 80 CM COMPLETA, CONFORME PROJETO DE ESQUADRIAS - MAXIM-AR - INCLUSO VIDRO (UN)</t>
  </si>
  <si>
    <t xml:space="preserve"> JANELA DE ALUMÍNIO - JA-13 - 280 X 60 CM COMPLETA, CONFORME PROJETO DE ESQUADRIAS - MAXIM-AR - INCLUSO VIDRO (UN)</t>
  </si>
  <si>
    <t>JANELA DE ALUMÍNIO - JA-14 - 280 X 185 CM COMPLETA, CONFORME PROJETO DE ESQUADRIAS - MAXIM-AR - INCLUSO VIDRO (UN) MONOLÍTICO</t>
  </si>
  <si>
    <t>JANELA DE ALUMÍNIO - JA-15 - 350 X 80 CM COMPLETA, CONFORME PROJETO DE ESQUADRIAS - MAXIM-AR -INCLUSO VIDRO (UN)</t>
  </si>
  <si>
    <t>JANELAS</t>
  </si>
  <si>
    <t>PORTAS</t>
  </si>
  <si>
    <t>CPU_MCR.022</t>
  </si>
  <si>
    <t>CPU_MCR.023</t>
  </si>
  <si>
    <t>CPU_MCR.024</t>
  </si>
  <si>
    <t>CPU_MCR.025</t>
  </si>
  <si>
    <t>CPU_MCR.026</t>
  </si>
  <si>
    <t>CPU_MCR.027</t>
  </si>
  <si>
    <t>CPU_MCR.028</t>
  </si>
  <si>
    <t>CPU_MCR.029</t>
  </si>
  <si>
    <t>CPU_MCR.030</t>
  </si>
  <si>
    <t>CPU_MCR.031</t>
  </si>
  <si>
    <t>CPU_MCR.032</t>
  </si>
  <si>
    <t>CPU_MCR.033</t>
  </si>
  <si>
    <t>CPU_MCR.034</t>
  </si>
  <si>
    <t>CHAPA METÁLICA (ALUMÍNIO) 0,90 M X 0,40 M, ESPESSURA 1 MM PARA AS PORTAS (M²)</t>
  </si>
  <si>
    <t>PORTA DE ABRIR - PA6 - 170 X 215 + 70 CM EM CHAPA DE ALUMÍNIO COM BANDEIRA E VIDRO - CONFORME PROJETO DE ESQUADRIAS, INCLUSIVE FERRAGENS E VIDRO MONOLÍTICO (M2)</t>
  </si>
  <si>
    <t>PORTA DE CORRER - PA7 - 420 X 215 + 70 CM EM CHAPA DE ALUMÍNIO COM BANDEIRA E VIDRO - CONFORME PROJETO DE ESQUADRIAS, INCLUSIVE FERRAGENS E VIDRO (M2)</t>
  </si>
  <si>
    <t>PORTA DE CORRER - PA8 - 210 X 215 + 70 CM EM CHAPA DE ALUMÍNIO COM BANDEIRA E VIDRO - CONFORME PROJETO DE ESQUADRIAS, INCLUSIVE FERRAGENS E VIDRO (M2)</t>
  </si>
  <si>
    <t>PORTA DE ABRIR - PA9 - 120 X 210 + 65 CM EM CHAPA DE ALUMÍNIO COM BANDEIRA E VENEZIANA - CONFORME PROJETO DE ESQUADRIAS, INCLUSIVE FERRAGENS (M2)</t>
  </si>
  <si>
    <t>CPU_MCR.035</t>
  </si>
  <si>
    <t>Chapa PM1 = Quantidade x largura x altura (36x0,90x0,40) =6,48M2</t>
  </si>
  <si>
    <t>Chapa PM2 = Quantidade x largura x altura (26x0,90x0,40) =9,36 M2</t>
  </si>
  <si>
    <t>Chapa PM3 = Quantidade x largura x altura (12x0,90x0,40) =4,32 M2</t>
  </si>
  <si>
    <t>VIDRO TEMPERADO</t>
  </si>
  <si>
    <t>SERV</t>
  </si>
  <si>
    <t>GRANITO</t>
  </si>
  <si>
    <t>HIG</t>
  </si>
  <si>
    <t>BL H</t>
  </si>
  <si>
    <t>MICTORIO</t>
  </si>
  <si>
    <t>BL J</t>
  </si>
  <si>
    <t>INSTALAÇÃO DE BOX DE VIDRO TEMPERADO, E = 10 MM, ENCAIXADO EM PERFIL U</t>
  </si>
  <si>
    <t>CPU_MCR.038</t>
  </si>
  <si>
    <t>MESMA ÁREA DO FORRO DRYWALL COMUM + FORRO EM DRYWALL RESISTENTE AO FOGO</t>
  </si>
  <si>
    <t>FUNDO SELADOR ACRÍLICO, APLICAÇÃO MANUAL EM TETO, UMA DEMÃO. AF_04/2023</t>
  </si>
  <si>
    <t xml:space="preserve">	88488</t>
  </si>
  <si>
    <t>PINTURA LÁTEX ACRÍLICA PREMIUM, APLICAÇÃO MANUAL EM TETO, DUAS DEMÃOS. AF_04/2023</t>
  </si>
  <si>
    <t>EMASSAMENTO COM MASSA LÁTEX, APLICAÇÃO EM TETO, DUAS DEMÃOS, LIXAMENTO MANUAL. AF_04/2023</t>
  </si>
  <si>
    <t>FORROS</t>
  </si>
  <si>
    <t>(Porta PM3) Quant.xLxHxface =&gt; 13 x 0,90 x 2,10 = 49,14 m2</t>
  </si>
  <si>
    <t>(Porta PM2) Quant.xLxH xface =&gt; 6 x 0,90 x 2,10x 2= 22,68 m2</t>
  </si>
  <si>
    <t>(Porta PM1) Quant.xLxHxface =&gt; 18 x 0,90x 2,10x 2= 68,04 m2</t>
  </si>
  <si>
    <t>PINTURA TINTA DE ACABAMENTO (PIGMENTADA) ESMALTE SINTÉTICO ACETINADO EM MADEIRA, 2 DEMÃOS. AF_01/2021</t>
  </si>
  <si>
    <t>Guarnição PM1 = Quant.xLxHxFace = &gt; 2x0,05x2,10x2 + 1x1x0,05x2 =&gt; 0,52 m2</t>
  </si>
  <si>
    <t>Guarnição PM2= Quant.xLxHxFace = &gt; 2x0,05x2,10x2 + 1x1x0,05x2 =&gt; 0,52 m2</t>
  </si>
  <si>
    <r>
      <rPr>
        <b/>
        <sz val="9"/>
        <color indexed="8"/>
        <rFont val="Arial"/>
        <family val="2"/>
      </rPr>
      <t>Endereço:</t>
    </r>
    <r>
      <rPr>
        <sz val="9"/>
        <color indexed="8"/>
        <rFont val="Arial"/>
        <family val="2"/>
      </rPr>
      <t xml:space="preserve"> Avenida do Aeroporto, Manicoré Amazonas</t>
    </r>
  </si>
  <si>
    <r>
      <t xml:space="preserve">Objeto: </t>
    </r>
    <r>
      <rPr>
        <sz val="9"/>
        <color indexed="8"/>
        <rFont val="Arial"/>
        <family val="2"/>
      </rPr>
      <t>Construção Ifam Campus Manicoré</t>
    </r>
  </si>
  <si>
    <t>CPU_MCR.039</t>
  </si>
  <si>
    <t>CPU_MCR.040</t>
  </si>
  <si>
    <t>P03 - PORTÃO METÁLICO DE ABRIR,  1,80 X 1,80 M,  COM CHAPA METÁLICA CARBONO PERFURADA, INCLUSO PINTURA</t>
  </si>
  <si>
    <t>P01 - PORTÃO METÁLICO DE ABRIR,  3,50 X 2,20 M,  COM CHAPA METÁLICA CARBONO PERFURADA, INCLUSO PINTURA</t>
  </si>
  <si>
    <t>CPU_MCR.044</t>
  </si>
  <si>
    <t>ESPELHO CRISTAL, ESPESSURA 4MM, COM PARAFUSOS DE FIXAÇÃO, SEM MOLDURA</t>
  </si>
  <si>
    <t>Banheiro Fem Bl. Sala PDGJ = &gt; Qtd x L x H =&gt; 3x 0,50 x 1,00 = 1,50 m2</t>
  </si>
  <si>
    <t>Banheiro Acess Bl. Sala PDGJ = &gt; Qtd x L x H =&gt; 2x 0,50 x 1,00 = 1,00 m2</t>
  </si>
  <si>
    <t>Banheiro Fem Adm =&gt; Qtd xLx H =&gt; 1 x 0,50 x 0,95 = 0,47 m2</t>
  </si>
  <si>
    <t>Banheiro masc Adm =&gt; Qtd xLx H =&gt; 1 x 0,50 x 0,95 = 0,47 m2</t>
  </si>
  <si>
    <t>Banheiro Acess Adm =&gt;Qtd xLxH =&gt;  2x 0,50 x 0,95 = 0,95 m2</t>
  </si>
  <si>
    <t>Banheiro Masc Serviço =&gt;QtdxLxH =&gt;1 x 0,50 x 1,00 = 0,50 m2</t>
  </si>
  <si>
    <t>Banheiro Fem Serviço=&gt;Qtd xLxH =&gt; 1 x 0,50 x 1,00 = 0,50 m2</t>
  </si>
  <si>
    <t>Banheiro Masc Higiene =&gt;Qtd x L x H =&gt;1x0,50x 1,00= 0,50 m2</t>
  </si>
  <si>
    <t>Banheiro Fem Higiene =&gt;QtdxL xH =&gt;1 x0,50 x1,00 = 0,50 m2</t>
  </si>
  <si>
    <t>Banheiro Acess Higiene =&gt; tdx LxH =&gt;2 x0,50 x1,00 = 1,00 m2</t>
  </si>
  <si>
    <t>Banheiro Masc Bl. Sala PDGH=&gt; Qtd x L x H =&gt; 3 x 0,50 x 1,00 = 1,50 m2</t>
  </si>
  <si>
    <t>Banheiro Fem  Bl. Sala PDGH=&gt; Qtd x L x H =&gt; 3 x 0,50 x 1,00 = 1,50 m2</t>
  </si>
  <si>
    <t>Banheiro Acess Bl. Sala PDGH =&gt;Qtd x L x H =&gt; 2x 0,50 x 1,00 = 1,00 m2</t>
  </si>
  <si>
    <t>Banheiro Masc Bl. Sala PDGJ=&gt; Qtd x L x H =&gt; 3x 0,50 x 1,00 = 1,50 m2</t>
  </si>
  <si>
    <t>PISO CIMENTADO, TRAÇO 1:3 (CIMENTO E AREIA), ACABAMENTO LISO, ESPESSURA 2,0 CM, PREPARO MECÂNICO DA ARGAMASSA. AF_09/2020</t>
  </si>
  <si>
    <t>Escritório = L X C  =&gt;3 x 1,95=&gt; 5,85 m2</t>
  </si>
  <si>
    <t>Almoxarifado = L X C =&gt; 4,25 x 3 =&gt; 12,75 m2</t>
  </si>
  <si>
    <t>Refeitório = L X C  =&gt; 5,33 x 3=&gt;  16,00 m2</t>
  </si>
  <si>
    <t>Vestiário = L X C = 3 x 5,10  =&gt; 15,30m2</t>
  </si>
  <si>
    <t>ARGAMASSA TRAÇO 1:3 (EM VOLUME DE CIMENTO E AREIA MÉDIA ÚMIDA) PARA CONTRAPISO, PREPARO MECÂNICO COM BETONEIRA 600 L. AF_08/2019</t>
  </si>
  <si>
    <t>Vestiário = L X Cx esp = 3 x 5,10x0,03  =&gt; 0,46 m3</t>
  </si>
  <si>
    <t>Escritório = L X Cx esp =&gt;3 x 1,95x0,03=&gt; 0,18 m3</t>
  </si>
  <si>
    <t>Almoxarifado =L X Cx esp=&gt; 4,25 x 3x0,03 =&gt; 0,38 m3</t>
  </si>
  <si>
    <t>Refeitório = L X Cx esp =&gt; 5,33 x 3x0,03=&gt; 0,48 m3</t>
  </si>
  <si>
    <t>LUMINÁRIA TIPO CALHA, DE SOBREPOR, COM 1 LÂMPADA TUBULAR FLUORESCENTE DE 36 W, COM REATOR DE PARTIDA RÁPIDA - FORNECIMENTO E INSTALAÇÃO. AF_02/2020</t>
  </si>
  <si>
    <t>Vestiário =1,00 UND</t>
  </si>
  <si>
    <t>Escritório = 1,00 UND</t>
  </si>
  <si>
    <t>Almoxarifado =1,00 UND</t>
  </si>
  <si>
    <t>Refeitório = 1,00 UND</t>
  </si>
  <si>
    <t>1.1</t>
  </si>
  <si>
    <t>SUMIDOURO RETANGULAR, EM ALVENARIA COM BLOCOS DE CONCRETO, DIMENSÕES INTERNAS: 0,8 X 1,4 X H=3,0 M, ÁREA DE INFILTRAÇÃO: 13,2 M² (PARA 5 CONTRIBUINTES). AF_12/2020</t>
  </si>
  <si>
    <t>CPU_MCR.045</t>
  </si>
  <si>
    <t>CPU_MCR.046</t>
  </si>
  <si>
    <t>P04 - PORTÃO METÁLICO NYLOFOR 0,90 X 2,03 M , MALHA 5 X 20CM - FIO 5,00MM, REVESTIDOS EM POLIESTER POR PROCESSO DE PINTURA ELETROSTÁTICA (GRADIL), NA COR BRANCA - FORNECIMENTO E INSTALAÇÃO</t>
  </si>
  <si>
    <t>JANELA DE AÇO TIPO BASCULANTE PARA VIDROS, COM BATENTE, FERRAGENS E PINTURA ANTICORROSIVA. EXCLUSIVE VIDROS, ACABAMENTO, ALIZAR E CONTRAMARCO. FORNECIMENTO E INSTALAÇÃO. AF_12/2019</t>
  </si>
  <si>
    <t>CONFORME PROJETO ESQUADRIAS</t>
  </si>
  <si>
    <t>PM5 - PORTA EM ALUMÍNIO DE ABRIR TIPO VENEZIANA COM GUARNIÇÃO, FIXAÇÃO COM PARAFUSOS E VIDRO TEMPERADO (GUARITA) - FORNECIMENTO E INSTALAÇÃO.</t>
  </si>
  <si>
    <t>CPU_MCR.048</t>
  </si>
  <si>
    <t>CONFORME PROJETO GUARITA</t>
  </si>
  <si>
    <t>PM6 - PORTA EM ALUMÍNIO DE ABRIR TIPO VENEZIANA COM GUARNIÇÃO 0,60X2,10 - FORNECIMENTO E INSTALAÇÃO.</t>
  </si>
  <si>
    <t>CPU_MCR.049</t>
  </si>
  <si>
    <t>Banheiro Guarita = &gt; Qtd x L x H =&gt; 1x 0,50 x 1,00 = 0,50 m2</t>
  </si>
  <si>
    <t>CPU_MCR.050</t>
  </si>
  <si>
    <t>JANELA DE CORRER E VIDROS FIXOS EM VIDRO TEMPERADO, ESPESSURA 8MM,  INCLUSIVE ACESSÓRIOS. AF_01/2021 - PORTARIA</t>
  </si>
  <si>
    <t>CONFORME PROJETO PORTARIA</t>
  </si>
  <si>
    <t>PINTURA COM TINTA ALQUÍDICA DE ACABAMENTO (ESMALTE SINTÉTICO FOSCO) PULVERIZADA SOBRE SUPERFÍCIES METÁLICAS (EXCETO PERFIL) EXECUTADO EM OBRA (02 DEMÃOS). AF_01/2020_PE</t>
  </si>
  <si>
    <t>P01= Quant.xLxHxFace = &gt; 1x3,50x2,20x2 =&gt; 15,40 m2</t>
  </si>
  <si>
    <t>P03= Quant.xLxHxFace = &gt; 1x1,80x1,80x2  =&gt; 6,48m2</t>
  </si>
  <si>
    <t>P04= Quant.xLxHxFace = &gt; 1x0,90x2,03x2  =&gt; 3,65m2</t>
  </si>
  <si>
    <t>JANELA DE ALUMÍNIO - JA-3 - 280 X 205 CM COMPLETA, CONFORME PROJETO DE ESQUADRIAS - CORRER COM BANDEIRA - INCLUSO VIDRO</t>
  </si>
  <si>
    <t>PEITORIL LINEAR EM GRANITO OU MÁRMORE, L = 24CM, ASSENTADO COM ARGAMASSA 1:6 COM ADITIVO</t>
  </si>
  <si>
    <t>CPU_MCR.051</t>
  </si>
  <si>
    <t>TARJETA TIPO LIVRE/OCUPADO PARA PORTA DE BANHEIRO. AF_12/2019</t>
  </si>
  <si>
    <t xml:space="preserve">	CPU_MCR.053</t>
  </si>
  <si>
    <t>BARRA DE APOIO RETA, EM ACO INOX POLIDO, COMPRIMENTO 40CM, FIXADA NA PORTA - FORNECIMENTO E INSTALAÇÃO.</t>
  </si>
  <si>
    <t>CONFORME PROJETO DE ESQUADRIAS - PORTAS PA04 E PA05</t>
  </si>
  <si>
    <t>CONFORME PROJETO DE ESQUADRIAS - PORTAS PM2</t>
  </si>
  <si>
    <t>VIDROS</t>
  </si>
  <si>
    <t>REVESTIMENTOS INTERNOS E EXTERNOS</t>
  </si>
  <si>
    <t>8.1</t>
  </si>
  <si>
    <t>8.2</t>
  </si>
  <si>
    <t>8.3</t>
  </si>
  <si>
    <t>8.4</t>
  </si>
  <si>
    <t>REVESTIMENTO CERÂMICO PARA PAREDES INTERNAS COM PLACAS TIPO PASTILHA DE DIMENSÕES 5 X 5 CM (PLACAS DE 30 X 30 CM) CM APLICADAS NA ALTURA INTEIRA DAS PAREDES. AF_02/2023</t>
  </si>
  <si>
    <t>PRO-REITORIA DE ADMINISTRAÇÃO - PROAD</t>
  </si>
  <si>
    <t>DIRETORIA DE INFRAESTRUTURA - DINFRA</t>
  </si>
  <si>
    <r>
      <t xml:space="preserve">Objeto: </t>
    </r>
    <r>
      <rPr>
        <i/>
        <sz val="9"/>
        <color rgb="FF000000"/>
        <rFont val="Arial"/>
        <family val="2"/>
      </rPr>
      <t>Construção do Campus Manicoré</t>
    </r>
  </si>
  <si>
    <r>
      <t xml:space="preserve">Endereço: </t>
    </r>
    <r>
      <rPr>
        <sz val="9"/>
        <color indexed="8"/>
        <rFont val="Arial"/>
        <family val="2"/>
      </rPr>
      <t xml:space="preserve">Expansão Município:  Manicoré /AM – CEP: 69.280-000 </t>
    </r>
  </si>
  <si>
    <t>MASSA PVA CORRIDA</t>
  </si>
  <si>
    <t>MASSA ACRILICA</t>
  </si>
  <si>
    <t>SELADOR</t>
  </si>
  <si>
    <t>TINTA ÁCRILICA</t>
  </si>
  <si>
    <t>REVESTIMENTO CERÂMICO PLACA 5X5</t>
  </si>
  <si>
    <t>REVESTIMENTO CERÂMICO PLACA 33X45</t>
  </si>
  <si>
    <t>PAREDE COM SISTEMA EM CHAPAS DE GESSO PARA DRYWALL, USO INTERNO, COM UMA FACE SIMPLES E ESTRUTURA METÁLICA COM GUIAS SIMPLES, SEM VÃOS. AF_07/2023_PS</t>
  </si>
  <si>
    <t>SECRETARIA DA EDUCAÇÃO MÉDIA E TECNOLÓGICA - SEMTEC</t>
  </si>
  <si>
    <t>INSTITUTO DE EDUCAÇÃO CIENCIA E TECNOLOGIA DO AMAZONAS - IFAM</t>
  </si>
  <si>
    <t xml:space="preserve"> PRÓ-REITORIA DE ADMINISTRAÇÃO - PROAD</t>
  </si>
  <si>
    <t>Objeto: Construção do Campus Manicoré</t>
  </si>
  <si>
    <r>
      <t xml:space="preserve">Endereço: </t>
    </r>
    <r>
      <rPr>
        <sz val="9"/>
        <color indexed="8"/>
        <rFont val="Arial"/>
        <family val="2"/>
      </rPr>
      <t xml:space="preserve">Expansão Município: Manicoré/AM – CEP: 69.280-000 </t>
    </r>
  </si>
  <si>
    <t>PEITORIL</t>
  </si>
  <si>
    <t>ENCUNHAMENTO</t>
  </si>
  <si>
    <t>DIVISÓRIA EM GRANITO</t>
  </si>
  <si>
    <t>TAPA VISTA EM GRANITO</t>
  </si>
  <si>
    <t xml:space="preserve">COBOGÓ </t>
  </si>
  <si>
    <t>VIDRO TEMPERADO 10 MM</t>
  </si>
  <si>
    <t>ALVENARIA 15 CM 9X19X19 CM</t>
  </si>
  <si>
    <t>ALVENARIA 20 CM 14X19X39 CM</t>
  </si>
  <si>
    <t>ALVENARIA 25 CM 19X19X39 CM</t>
  </si>
  <si>
    <t>PAREDE EM DRYWALL</t>
  </si>
  <si>
    <t>FECHAMENTO EM PLACA CIMENTICIA</t>
  </si>
  <si>
    <t>FECHAMENTO EM PLACA CIMENTÍCIA, ESPESSURA 10 MM</t>
  </si>
  <si>
    <t>CPU_MCR.037</t>
  </si>
  <si>
    <t>ESCAVAÇÃO MECANIZADA PARA BLOCO DE COROAMENTO OU SAPATA COM RETROESCAVADEIRA (INCLUINDO ESCAVAÇÃO PARA COLOCAÇÃO DE FÔRMAS). AF_01/2024</t>
  </si>
  <si>
    <t>ANEXO 02</t>
  </si>
  <si>
    <t>ESCAVAÇÃO MECANIZADA PARA VIGA BALDRAME OU SAPATA CORRIDA COM MINI-ESCAVADEIRA (INCLUINDO ESCAVAÇÃO PARA COLOCAÇÃO DE FÔRMAS). AF_01/2024</t>
  </si>
  <si>
    <t>REATERRO MECANIZADO DE VALA COM RETROESCAVADEIRA (CAPACIDADE DA CAÇAMBA DA RETRO: 0,26 M³/POTÊNCIA: 88 HP), LARGURA 0,8 A 1,5 M, PROFUNDIDADE ATÉ 1,5 M, COM SOLO (SEM SUBSTITUIÇÃO) DE 1ª CATEGORIA, COM COMPACTADOR DE SOLOS DE PERCUSSÃO AF_08/2023</t>
  </si>
  <si>
    <t>5.1</t>
  </si>
  <si>
    <t>ESTACAS</t>
  </si>
  <si>
    <t>NOVA</t>
  </si>
  <si>
    <t>ESTACA ESCAVADA MECANICAMENTE, SEM FLUIDO ESTABILIZANTE, COM 40CM DE DIÂMETRO, CONCRETO LANÇADO MANUALMENTE  (EXCLUSIVE MOBILIZAÇÃO E DESMOBILIZAÇÃO). AF_01/2020_PA</t>
  </si>
  <si>
    <t>ARRASAMENTO MECANICO DE ESTACA DE CONCRETO ARMADO, DIAMETROS DE ATÉ 40 CM. AF_05/2021</t>
  </si>
  <si>
    <t>MONTAGEM DE ARMADURA TRANSVERSAL DE ESTACAS DE SEÇÃO CIRCULAR, DIÂMETRO = 5,0 MM. AF_09/2021_PS</t>
  </si>
  <si>
    <t>MONTAGEM DE ARMADURA DE ESTACAS, DIÂMETRO = 10,0 MM. AF_09/2021_PS</t>
  </si>
  <si>
    <t>5.2</t>
  </si>
  <si>
    <t>BLOCOS</t>
  </si>
  <si>
    <t>LASTRO DE CONCRETO MAGRO, APLICADO EM BLOCOS DE COROAMENTO OU SAPATAS, ESPESSURA DE 5 CM. AF_08/2017</t>
  </si>
  <si>
    <t>FABRICAÇÃO, MONTAGEM E DESMONTAGEM DE FÔRMA PARA BLOCO DE COROAMENTO,EM MADEIRA SERRADA, E=25 MM, 4 UTILIZAÇÕES. AF_01/2024</t>
  </si>
  <si>
    <t>ARMAÇÃO DE BLOCO UTILIZANDO AÇO CA-60 DE 5 MM - MONTAGEM. AF_01/2024</t>
  </si>
  <si>
    <t>ARMAÇÃO DE BLOCO UTILIZANDO AÇO CA-50 DE 6,3 MM - MONTAGEM. AF_01/2024</t>
  </si>
  <si>
    <t>ARMAÇÃO DE BLOCO UTILIZANDO AÇO CA-50 DE 8 MM - MONTAGEM. AF_01/2024</t>
  </si>
  <si>
    <t>ARMAÇÃO DE BLOCO UTILIZANDO AÇO CA-50 DE 10 MM - MONTAGEM. AF_01/2024</t>
  </si>
  <si>
    <t>ARMAÇÃO DE BLOCO, SAPATA ISOLADA, VIGA BALDRAME E SAPATA CORRIDA UTILIZANDO AÇO CA-50 DE 12,5 MM - MONTAGEM. AF_01/2024</t>
  </si>
  <si>
    <t>ARMAÇÃO DE BLOCO, SAPATA ISOLADA, VIGA BALDRAME E SAPATA CORRIDA UTILIZANDO AÇO CA-50 DE 16 MM - MONTAGEM. AF_01/2024</t>
  </si>
  <si>
    <t>CP-96555-70363089</t>
  </si>
  <si>
    <t>CONCRETAGEM DE BLOCOS DE COROAMENTO E VIGAS BALDRAME, FCK 25 MPA, COM USO DE JERICA, LANÇAMENTO, ADENSAMENTO E ACABAMENTO</t>
  </si>
  <si>
    <t>FABRICAÇÃO, MONTAGEM E DESMONTAGEM DE FÔRMA PARA VIGA BALDRAME, EM MADEIRA SERRADA, E=25 MM, 4 UTILIZAÇÕES. AF_01/2024</t>
  </si>
  <si>
    <t>ARMAÇÃO DE PILAR OU VIGA DE ESTRUTURA CONVENCIONAL DE CONCRETO ARMADO UTILIZANDO AÇO CA-60 DE 5,0 MM - MONTAGEM. AF_06/2022</t>
  </si>
  <si>
    <t>ARMAÇÃO DE PILAR OU VIGA DE ESTRUTURA CONVENCIONAL DE CONCRETO ARMADO UTILIZANDO AÇO CA-50 DE 8,0 MM - MONTAGEM. AF_06/2022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</si>
  <si>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</si>
  <si>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 - MONTAGEM. AF_06/2022</t>
  </si>
  <si>
    <t>ARMAÇÃO DE PILAR OU VIGA DE ESTRUTURA CONVENCIONAL DE CONCRETO ARMADO UTILIZANDO AÇO CA-50 DE 16,0 MM - MONTAGEM. AF_06/2022</t>
  </si>
  <si>
    <t>ARMAÇÃO DE PILAR OU VIGA DE ESTRUTURA CONVENCIONAL DE CONCRETO ARMADOUTILIZANDO AÇO CA-50 DE 20,0 MM - MONTAGEM. AF_06/2022</t>
  </si>
  <si>
    <t>ARMAÇÃO DE SAPATA ISOLADA, VIGA BALDRAME E SAPATA CORRIDA UTILIZANDO A ÇO CA-60 DE 5 MM - MONTAGEM. AF_01/2024</t>
  </si>
  <si>
    <t>ARMAÇÃO DE SAPATA ISOLADA, VIGA BALDRAME E SAPATA CORRIDA UTILIZANDO AÇO CA-50 DE 6,3 MM - MONTAGEM. AF_01/2024</t>
  </si>
  <si>
    <t>ARMAÇÃO DE SAPATA ISOLADA, VIGA BALDRAME E SAPATA CORRIDA UTILIZANDO AÇO CA-50 DE 8 MM - MONTAGEM. AF_01/2024</t>
  </si>
  <si>
    <t>ARMAÇÃO DE SAPATA ISOLADA, VIGA BALDRAME E SAPATA CORRIDA UTILIZANDO AÇO CA-50 DE 10 MM - MONTAGEM. AF_01/2024</t>
  </si>
  <si>
    <t>SUPERESTRUTURA</t>
  </si>
  <si>
    <t>PILARES - VIGAS DE COBERTURA</t>
  </si>
  <si>
    <t>MONTAGEM E DESMONTAGEM DE FÔRMA DE PILARES RETANGULARES E ESTRUTURAS SIMILARES, PÉ-DIREITO SIMPLES, EM CHAPA DE MADEIRA COMPENSADA PLASTIFICADA, 18 UTILIZAÇÕES. AF_09/2020</t>
  </si>
  <si>
    <t>92479</t>
  </si>
  <si>
    <t>MONTAGEM E DESMONTAGEM DE FÔRMA DE VIGA, ESCORAMENTO COM GARFO DE MADEIRA, PÉ-DIREITO SIMPLES, EM CHAPA DE MADEIRA PLASTIFICADA, 18 UTILIZAÇÕES. AF_09/2020</t>
  </si>
  <si>
    <t>ARMAÇÃO DE PILAR OU VIGA DE ESTRUTURA CONVENCIONAL DE CONCRETO ARMADO UTILIZANDO AÇO CA-50 DE 6,3 MM - MONTAGEM. AF_06/2022</t>
  </si>
  <si>
    <t>USAR 100897 E A 100899</t>
  </si>
  <si>
    <t>ARMAÇÃO DE PILAR OU VIGA DE ESTRUTURA CONVENCIONAL DE CONCRETO ARMADO UTILIZANDO AÇO CA-50 DE 25,0 MM - MONTAGEM. AF_06/2022</t>
  </si>
  <si>
    <t>CONCRETAGEM DE PILARES, FCK = 25 MPA, COM USO DE BALDES - LANÇAMENTO, ADENSAMENTO E ACABAMENTO. AF_02/2022</t>
  </si>
  <si>
    <t>CONCRETAGEM DE VIGAS E LAJES, FCK=25 MPA, PARA QUALQUER TIPO DE LAJE COM BALDES EM EDIFICAÇÃO TÉRREA - LANÇAMENTO, ADENSAMENTO E ACABAMENTO. AF_02/2022</t>
  </si>
  <si>
    <t>LAJES</t>
  </si>
  <si>
    <t>MONTAGEM E DESMONTAGEM DE FÔRMA DE LAJE MACIÇA, PÉ-DIREITO SIMPLES, EM CHAPA DE MADEIRA COMPENSADA RESINADA, 4 UTILIZAÇÕES. AF_09/2020</t>
  </si>
  <si>
    <t>ARMAÇÃO DE LAJE DE ESTRUTURA CONVENCIONAL DE CONCRETO ARMADO UTILIZANDO AÇO CA-60 DE 5,0 MM - MONTAGEM. AF_06/2022</t>
  </si>
  <si>
    <t>ARMAÇÃO DE LAJE DE ESTRUTURA CONVENCIONAL DE CONCRETO ARMADO UTILIZANDO AÇO CA-50 DE 6,3 MM - MONTAGEM. AF_06/2022</t>
  </si>
  <si>
    <t>4.1</t>
  </si>
  <si>
    <t>4.2</t>
  </si>
  <si>
    <t>4.3</t>
  </si>
  <si>
    <t>APLICAÇÃO MANUAL DE TINTA LÁTEX ACRÍLICA EM PAREDE EXTERNAS DE CASAS, DUAS DEMÃOS. AF_03/2024</t>
  </si>
  <si>
    <t>PM1 - KIT DE PORTA DE MADEIRA PARA PINTURA, MACIÇA (PESADA OU SUPERPESADA, PADRÃO MÉDIO, 90X210CM, ESPESSURA DE 3,5CM, ITENS INCLUSOS: DOBRADIÇAS, MONTAGEM E INSTALAÇÃO DE BATENTE, FECHADURA COM EXECUÇÃO DO FURO - FORNECIMENTO E INSTALAÇÃO (UN)</t>
  </si>
  <si>
    <t>PM2 - KIT DE PORTA DE MADEIRA PARA PINTURA, MACIÇA (PESADA OU SUPERPESADA), PADRÃO MÉDIO,90X210CM, ESPESSURA DE 3,5CM, ITENS INCLUSOS: DOBRADIÇAS, MONTAGEM E INSTALAÇÃO DE BATENTE, FECHADURA COM EXECUÇÃO DO FURO - FORNECIMENTO E INSTALAÇÃO. (UN)</t>
  </si>
  <si>
    <t>PM3 - KIT DE PORTA DE MADEIRA PARA PINTURA, MACIÇA (PESADA OU SUPERPESADA), PADRÃO MÉDIO, 90X210CM, ESPESSURA DE 3,5CM, ITENS INCLUSOS: DOBRADIÇAS, MONTAGEM E INSTALAÇÃO DE BATENTE, VIDRO TEMPERADO E FECHADURA COM EXECUÇÃO DO FURO - FORNECIMENTO E INSTALAÇÃO (UN)</t>
  </si>
  <si>
    <t xml:space="preserve"> PRÓ-REITORIA DE ADMINISTRAÇÃO</t>
  </si>
  <si>
    <t>DIRETORIA DE INFRAESTRUTURA</t>
  </si>
  <si>
    <t>verificar se retira por conta da utilizaçao</t>
  </si>
  <si>
    <r>
      <t xml:space="preserve">Obra: </t>
    </r>
    <r>
      <rPr>
        <i/>
        <sz val="10"/>
        <color rgb="FF000000"/>
        <rFont val="Arial"/>
        <family val="2"/>
      </rPr>
      <t>Construção de Cozinha Industrial e Refeitório do Campus Itacoatiara</t>
    </r>
  </si>
  <si>
    <t>atualizar cotacao</t>
  </si>
  <si>
    <r>
      <t xml:space="preserve">Endereço: </t>
    </r>
    <r>
      <rPr>
        <i/>
        <sz val="10"/>
        <color rgb="FF000000"/>
        <rFont val="Arial"/>
        <family val="2"/>
      </rPr>
      <t>Rod. AM-010, KM 08, s/n - Comunidade da Penha - Itacoatiara/AM - CEP: 69.100-00</t>
    </r>
  </si>
  <si>
    <t>composicao atualizada</t>
  </si>
  <si>
    <t>item retirado</t>
  </si>
  <si>
    <t>quantidade nova</t>
  </si>
  <si>
    <t>item novo</t>
  </si>
  <si>
    <t>5.3</t>
  </si>
  <si>
    <t>6.1</t>
  </si>
  <si>
    <t>6.2</t>
  </si>
  <si>
    <t>IMPERMEABILIZAÇAO</t>
  </si>
  <si>
    <t>IMPERMEABILIZAÇÃO DE SUPERFÍCIE COM EMULSÃO ASFÁLTICA, 2 DEMÃOS. AF_09/2023</t>
  </si>
  <si>
    <t>CONTRAPISO EM ARGAMASSA TRAÇO 1:4 (CIMENTO E AREIA), PREPARO MECÂNICO COM BETONEIRA 400 L, APLICADO EM ÁREAS MOLHADAS SOBRE IMPERMEABILIZAÇÃO, ACABAMENTO NÃO REFORÇADO, ESPESSURA 3CM. AF_07/2021</t>
  </si>
  <si>
    <t>BLOCO G</t>
  </si>
  <si>
    <t>AREA</t>
  </si>
  <si>
    <t>1,8 X 7,8</t>
  </si>
  <si>
    <t>BLOCO H</t>
  </si>
  <si>
    <t>1,8 X 7,8 + 1,8 X 3,88</t>
  </si>
  <si>
    <t>BLOCO I</t>
  </si>
  <si>
    <t>(1,8 X 7,8) X 2</t>
  </si>
  <si>
    <t>BLOCO J</t>
  </si>
  <si>
    <t>EMBOÇO OU MASSA ÚNICA EM ARGAMASSA TRAÇO 1:2:8, PREPARO MECÂNICO COM BETONEIRA 400 L, APLICADA MANUALMENTE EM PANOS CEGOS DE FACHADA (SEM PRESENÇA DE VÃOS), ESPESSURA DE 25 MM. AF_08/2022</t>
  </si>
  <si>
    <t>AREA + PERIMETRO X ALTURA</t>
  </si>
  <si>
    <t>(1,8+1,8+7,8+7,8) X 0,6</t>
  </si>
  <si>
    <t xml:space="preserve"> (1,8+1,8+7,8+7,8) X 0,6 + (1,8+1,8+3,88+3,88) X 0,6</t>
  </si>
  <si>
    <t>(AREA + PERIMETRO X ALTURA) X QUANT.</t>
  </si>
  <si>
    <t>((1,8+1,8+7,8+7,8) X 0,6) X 2</t>
  </si>
  <si>
    <t>IMPERMEABILIZAÇÃO DE SUPERFÍCIE COM MANTA ASFÁLTICA, UMA CAMADA, INCLUSIVE APLICAÇÃO DE PRIMER ASFÁLTICO, E=4MM. AF_09/2023</t>
  </si>
  <si>
    <t>1,8 X 7,8 + (1,8+1,8+7,8+7,8) X 0,6</t>
  </si>
  <si>
    <t>1,8 X 7,8 + 1,8 X 3,88 + (1,8+1,8+7,8+7,8) X 0,6 + (1,8+1,8+3,88+3,88) X 0,6</t>
  </si>
  <si>
    <t>(1,8 X 7,8 + (1,8+1,8+7,8+7,8) X 0,6) X 2</t>
  </si>
  <si>
    <t>PROTEÇÃO MECÂNICA DE SUPERFICIE HORIZONTAL COM ARGAMASSA DE CIMENTO E AREIA, TRAÇO 1:3, E=3CM. AF_09/2023</t>
  </si>
  <si>
    <t>foi retirado CPU_IFAM.COZ.096</t>
  </si>
  <si>
    <t>LIXAMENTO DE MADEIRA PARA APLICAÇÃO DE FUNDO OU PINTURA. AF_01/2021</t>
  </si>
  <si>
    <t>PINTURA FUNDO NIVELADOR ALQUÍDICO BRANCO EM MADEIRA. AF_01/2021</t>
  </si>
  <si>
    <t>PINTURA COM TINTA ALQUÍDICA DE FUNDO (TIPO ZARCÃO) PULVERIZADA SOBRE SUPERFÍCIES METÁLICAS (EXCETO PERFIL) EXECUTADO EM OBRA (POR DEMÃO). AF_01/2020_PE</t>
  </si>
  <si>
    <t>P02= Quant.xLxHxFace = &gt; 1x3,40x2,38x2  =&gt; 16,18m2</t>
  </si>
  <si>
    <t>falta as estacas do bloco que sustentam a estrutura metalica</t>
  </si>
  <si>
    <t>verificar a pintura dos gradis e do portao de acesso ao estacionamento</t>
  </si>
  <si>
    <t>REVISAR</t>
  </si>
  <si>
    <t>COLOCAR TODAS ESSA JANELAS EM UND</t>
  </si>
  <si>
    <t>modificar composiçao</t>
  </si>
  <si>
    <t>CPU_MCR.070</t>
  </si>
  <si>
    <t>TELA MOSQUITEIRO COM REQUADRO EM ALUMINIO, FORNECIMENTO E INSTALAÇÃO</t>
  </si>
  <si>
    <t>COMP X LAR X QUANT - JA1 (0,65*1,08*2) + JA5 (1,85*1,78*3)</t>
  </si>
  <si>
    <t>PORTA DE ABRIR - PA2 - 90 X 210 CM EM CHAPA DE ALUMÍNIO, TIPO VENEZIANA COM VIDROS , FIXAÇÃO COM PARAFUSOS - FORNECIMENTO E INSTALAÇÃO - CONFORME PROJETO DE ESQUADRIAS (UN)</t>
  </si>
  <si>
    <t>PORTA DE ABRIR - PA1 - 100 X 210 CM EM CHAPA DE ALUMÍNIO, TIPO VENEZIANA COM VIDROS, FIXAÇÃO COM PARAFUSOS - FORNECIMENTO E INSTALAÇÃO - CONFORME PROJETO DE ESQUADRIAS (UN)</t>
  </si>
  <si>
    <t xml:space="preserve">	CPU_MCR.071</t>
  </si>
  <si>
    <t>PORTA DE ABRIR - PA3 - 90 X 210 CM EM CHAPA DE ALUMÍNIO, TIPO VENEZIANA, FIXAÇÃO COM PARAFUSOS - FORNECIMENTO E INSTALAÇÃO - CONFORME PROJETO DE ESQUADRIAS (UND)</t>
  </si>
  <si>
    <t>PORTA DE ABRIR - PA4 - 80 X 165 CM EM CHAPA DE ALUMÍNIO, TIPO VENEZIANA, FIXAÇÃO COM PARAFUSOS - FORNECIMENTO E INSTALAÇÃO - CONFORME PROJETO DE ESQUADRIAS (UN)</t>
  </si>
  <si>
    <t>PORTA DE ABRIR - PA5 - 70 X 165 CM EM CHAPA DE ALUMÍNIO, TIPO VENEZIANA, FIXAÇÃO COM PARAFUSOS - FORNECIMENTO E INSTALAÇÃO - CONFORME PROJETO DE ESQUADRIAS (UN)</t>
  </si>
  <si>
    <t>PORTA DE ABRIR - PA10 - 175 X 210 + 20 CM EM CHAPA DE ALUMÍNIO COM VENEZIANA , INCLUSIVE FERRAGENS (UN)</t>
  </si>
  <si>
    <t>PORTA DE CORRER - PA11- 120 X 170 CM EM CHAPA DE ALUMÍNIO COM VENEZIANA - INCLUSIVE FERRAGENS (UN)</t>
  </si>
  <si>
    <t>*P02 - PORTÃO METÁLICO TIPO GRADIL 3,40 X 2,38 M , MALHA 5 X 20CM - FIO 5,00MM, COM PINTURA ELETROSTÁTICA (GRADIL), NA COR BRANCA - FORNECIMENTO E INSTALAÇÃO</t>
  </si>
  <si>
    <t>Porta Corta Fogo = Quant.xLxHxFace = &gt; 3x2,20x2,10x2  =&gt; 27,72m2</t>
  </si>
  <si>
    <t>COM-52028956</t>
  </si>
  <si>
    <t>BARRA ANTIPANICO SIMPLES, COM FECHADURA LADO OPOSTO, COR CINZA, FORNECIMENTO E INSTALAÇÃO.</t>
  </si>
  <si>
    <t>PORTA CORTA-FOGO 90X210X4CM - FORNECIMENTO E INSTALAÇÃO. AF_12/2019</t>
  </si>
  <si>
    <t>3 portas de 1,80 x 2,10</t>
  </si>
  <si>
    <t>CHAPA PERFURADA</t>
  </si>
  <si>
    <t>GRADIL PARA VEGETAÇÃO</t>
  </si>
  <si>
    <t>FERRAGENS, ACESSÓRIOS E GRADIS</t>
  </si>
  <si>
    <t>FECHAMENTO COM CHAPA METÁLICA PERFURADA, INCLUSO PINTURA</t>
  </si>
  <si>
    <t>CPU_MCR.041</t>
  </si>
  <si>
    <t>GRADIL METÁLICO E TELA DE AÇO GALVANIZADO FIO 12 BWG, MALHA 2" - JARDIM VERTICAL</t>
  </si>
  <si>
    <t>CPU_MCR.042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</si>
</sst>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0000"/>
    <numFmt numFmtId="166" formatCode="0.0000"/>
    <numFmt numFmtId="167" formatCode="0.000%"/>
  </numFmts>
  <fonts count="86">
    <font>
      <sz val="11"/>
      <color theme="1"/>
      <name val="Calibri"/>
      <family val="2"/>
      <scheme val="minor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0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11"/>
      <color theme="1"/>
      <name val="Verdana"/>
      <family val="2"/>
    </font>
    <font>
      <b/>
      <sz val="10"/>
      <color theme="1"/>
      <name val="Arial"/>
      <family val="2"/>
    </font>
    <font>
      <b/>
      <i/>
      <sz val="12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sz val="8"/>
      <color indexed="8"/>
      <name val="Courier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0"/>
      <color rgb="FF000000"/>
      <name val="Arial Narrow"/>
      <family val="2"/>
    </font>
    <font>
      <i/>
      <sz val="8"/>
      <color rgb="FF000000"/>
      <name val="Arial Narrow"/>
      <family val="2"/>
    </font>
    <font>
      <i/>
      <sz val="10.5"/>
      <color rgb="FF000000"/>
      <name val="Arial Narrow"/>
      <family val="2"/>
    </font>
    <font>
      <b/>
      <i/>
      <sz val="11"/>
      <color rgb="FF000000"/>
      <name val="Arial Narrow"/>
      <family val="2"/>
    </font>
    <font>
      <i/>
      <sz val="11"/>
      <color theme="1"/>
      <name val="Arial Narrow"/>
      <family val="2"/>
    </font>
    <font>
      <b/>
      <i/>
      <u/>
      <sz val="11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color indexed="8"/>
      <name val="Arial Narrow"/>
      <family val="2"/>
    </font>
    <font>
      <b/>
      <i/>
      <sz val="10"/>
      <name val="Arial Narrow"/>
      <family val="2"/>
    </font>
    <font>
      <i/>
      <sz val="10"/>
      <color theme="1"/>
      <name val="Arial Narrow"/>
      <family val="2"/>
    </font>
    <font>
      <b/>
      <i/>
      <sz val="10.5"/>
      <color theme="1"/>
      <name val="Arial Narrow"/>
      <family val="2"/>
    </font>
    <font>
      <sz val="10.5"/>
      <color theme="1"/>
      <name val="Arial Narrow"/>
      <family val="2"/>
    </font>
    <font>
      <b/>
      <i/>
      <u/>
      <sz val="10.5"/>
      <color theme="1"/>
      <name val="Arial Narrow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rgb="FF212529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</font>
    <font>
      <i/>
      <sz val="9"/>
      <color rgb="FF000000"/>
      <name val="Arial"/>
      <family val="2"/>
    </font>
    <font>
      <i/>
      <sz val="10"/>
      <color theme="1"/>
      <name val="Arial"/>
    </font>
    <font>
      <b/>
      <i/>
      <sz val="10"/>
      <color theme="1"/>
      <name val="Arial"/>
    </font>
    <font>
      <b/>
      <i/>
      <sz val="10"/>
      <color rgb="FF000000"/>
      <name val="Arial"/>
    </font>
    <font>
      <sz val="11"/>
      <name val="Calibri"/>
    </font>
    <font>
      <sz val="11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FF"/>
        <bgColor indexed="64"/>
      </patternFill>
    </fill>
  </fills>
  <borders count="19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thin">
        <color auto="1"/>
      </right>
      <top style="double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/>
      <top style="double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auto="1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indexed="64"/>
      </right>
      <top style="double">
        <color auto="1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auto="1"/>
      </top>
      <bottom/>
      <diagonal/>
    </border>
    <border>
      <left style="thin">
        <color auto="1"/>
      </left>
      <right/>
      <top style="hair">
        <color indexed="64"/>
      </top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59">
    <xf numFmtId="0" fontId="0" fillId="0" borderId="0"/>
    <xf numFmtId="0" fontId="6" fillId="0" borderId="0"/>
    <xf numFmtId="0" fontId="8" fillId="0" borderId="0"/>
    <xf numFmtId="0" fontId="27" fillId="0" borderId="0" applyNumberFormat="0" applyFill="0" applyBorder="0" applyAlignment="0" applyProtection="0"/>
    <xf numFmtId="0" fontId="28" fillId="0" borderId="69" applyNumberFormat="0" applyFill="0" applyAlignment="0" applyProtection="0"/>
    <xf numFmtId="0" fontId="29" fillId="0" borderId="70" applyNumberFormat="0" applyFill="0" applyAlignment="0" applyProtection="0"/>
    <xf numFmtId="0" fontId="30" fillId="0" borderId="71" applyNumberFormat="0" applyFill="0" applyAlignment="0" applyProtection="0"/>
    <xf numFmtId="0" fontId="30" fillId="0" borderId="0" applyNumberFormat="0" applyFill="0" applyBorder="0" applyAlignment="0" applyProtection="0"/>
    <xf numFmtId="0" fontId="31" fillId="15" borderId="0" applyNumberFormat="0" applyBorder="0" applyAlignment="0" applyProtection="0"/>
    <xf numFmtId="0" fontId="32" fillId="16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72" applyNumberFormat="0" applyAlignment="0" applyProtection="0"/>
    <xf numFmtId="0" fontId="35" fillId="19" borderId="73" applyNumberFormat="0" applyAlignment="0" applyProtection="0"/>
    <xf numFmtId="0" fontId="36" fillId="19" borderId="72" applyNumberFormat="0" applyAlignment="0" applyProtection="0"/>
    <xf numFmtId="0" fontId="37" fillId="0" borderId="74" applyNumberFormat="0" applyFill="0" applyAlignment="0" applyProtection="0"/>
    <xf numFmtId="0" fontId="38" fillId="20" borderId="75" applyNumberFormat="0" applyAlignment="0" applyProtection="0"/>
    <xf numFmtId="0" fontId="39" fillId="0" borderId="0" applyNumberFormat="0" applyFill="0" applyBorder="0" applyAlignment="0" applyProtection="0"/>
    <xf numFmtId="0" fontId="8" fillId="21" borderId="76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77" applyNumberFormat="0" applyFill="0" applyAlignment="0" applyProtection="0"/>
    <xf numFmtId="0" fontId="42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42" fillId="45" borderId="0" applyNumberFormat="0" applyBorder="0" applyAlignment="0" applyProtection="0"/>
    <xf numFmtId="9" fontId="8" fillId="0" borderId="0" applyFont="0" applyFill="0" applyBorder="0" applyAlignment="0" applyProtection="0"/>
    <xf numFmtId="0" fontId="6" fillId="0" borderId="0"/>
    <xf numFmtId="164" fontId="26" fillId="0" borderId="0" applyFont="0" applyFill="0" applyBorder="0" applyAlignment="0" applyProtection="0"/>
    <xf numFmtId="0" fontId="43" fillId="0" borderId="0"/>
    <xf numFmtId="0" fontId="26" fillId="0" borderId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0" fontId="46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79" fillId="0" borderId="0"/>
  </cellStyleXfs>
  <cellXfs count="92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3" borderId="0" xfId="0" applyFont="1" applyFill="1"/>
    <xf numFmtId="0" fontId="3" fillId="3" borderId="0" xfId="0" applyFont="1" applyFill="1" applyBorder="1"/>
    <xf numFmtId="0" fontId="3" fillId="2" borderId="0" xfId="0" applyFont="1" applyFill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/>
    </xf>
    <xf numFmtId="10" fontId="5" fillId="2" borderId="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12" fillId="6" borderId="28" xfId="0" applyFont="1" applyFill="1" applyBorder="1" applyAlignment="1">
      <alignment horizontal="left" vertical="top" wrapText="1"/>
    </xf>
    <xf numFmtId="0" fontId="12" fillId="6" borderId="28" xfId="0" applyFont="1" applyFill="1" applyBorder="1" applyAlignment="1">
      <alignment horizontal="center" vertical="top" wrapText="1"/>
    </xf>
    <xf numFmtId="165" fontId="12" fillId="6" borderId="28" xfId="0" applyNumberFormat="1" applyFont="1" applyFill="1" applyBorder="1" applyAlignment="1">
      <alignment horizontal="right" vertical="top" wrapText="1"/>
    </xf>
    <xf numFmtId="4" fontId="12" fillId="6" borderId="28" xfId="0" applyNumberFormat="1" applyFont="1" applyFill="1" applyBorder="1" applyAlignment="1">
      <alignment horizontal="right" vertical="top" wrapText="1"/>
    </xf>
    <xf numFmtId="4" fontId="12" fillId="6" borderId="28" xfId="0" applyNumberFormat="1" applyFont="1" applyFill="1" applyBorder="1" applyAlignment="1">
      <alignment horizontal="right" vertical="top"/>
    </xf>
    <xf numFmtId="0" fontId="0" fillId="0" borderId="0" xfId="0" applyBorder="1"/>
    <xf numFmtId="0" fontId="7" fillId="0" borderId="0" xfId="1" applyFont="1" applyAlignment="1">
      <alignment vertical="center"/>
    </xf>
    <xf numFmtId="0" fontId="6" fillId="0" borderId="0" xfId="1"/>
    <xf numFmtId="0" fontId="15" fillId="0" borderId="0" xfId="1" applyFont="1" applyFill="1" applyBorder="1" applyAlignment="1">
      <alignment horizontal="left" vertical="center"/>
    </xf>
    <xf numFmtId="0" fontId="6" fillId="0" borderId="0" xfId="1" applyAlignment="1">
      <alignment horizontal="center" vertical="center"/>
    </xf>
    <xf numFmtId="2" fontId="1" fillId="0" borderId="0" xfId="1" applyNumberFormat="1" applyFont="1" applyFill="1" applyBorder="1" applyAlignment="1">
      <alignment vertical="center" wrapText="1"/>
    </xf>
    <xf numFmtId="0" fontId="18" fillId="2" borderId="0" xfId="1" applyFont="1" applyFill="1" applyAlignment="1">
      <alignment vertical="center"/>
    </xf>
    <xf numFmtId="0" fontId="6" fillId="2" borderId="0" xfId="1" applyFill="1"/>
    <xf numFmtId="2" fontId="1" fillId="0" borderId="0" xfId="1" applyNumberFormat="1" applyFont="1" applyFill="1" applyBorder="1" applyAlignment="1">
      <alignment horizontal="left" vertical="center" wrapText="1"/>
    </xf>
    <xf numFmtId="0" fontId="20" fillId="0" borderId="0" xfId="1" applyFont="1"/>
    <xf numFmtId="0" fontId="20" fillId="0" borderId="0" xfId="1" applyFont="1" applyBorder="1"/>
    <xf numFmtId="0" fontId="19" fillId="7" borderId="30" xfId="1" applyFont="1" applyFill="1" applyBorder="1" applyAlignment="1">
      <alignment horizontal="center" vertical="center"/>
    </xf>
    <xf numFmtId="0" fontId="19" fillId="7" borderId="31" xfId="1" applyFont="1" applyFill="1" applyBorder="1" applyAlignment="1">
      <alignment horizontal="center" vertical="center"/>
    </xf>
    <xf numFmtId="0" fontId="19" fillId="7" borderId="32" xfId="1" applyFont="1" applyFill="1" applyBorder="1" applyAlignment="1">
      <alignment horizontal="center" vertical="center"/>
    </xf>
    <xf numFmtId="0" fontId="6" fillId="0" borderId="0" xfId="1" applyBorder="1"/>
    <xf numFmtId="0" fontId="20" fillId="0" borderId="34" xfId="1" applyFont="1" applyBorder="1" applyAlignment="1">
      <alignment horizontal="center" vertical="center"/>
    </xf>
    <xf numFmtId="43" fontId="20" fillId="2" borderId="35" xfId="1" applyNumberFormat="1" applyFont="1" applyFill="1" applyBorder="1" applyAlignment="1">
      <alignment horizontal="center" vertical="center"/>
    </xf>
    <xf numFmtId="0" fontId="6" fillId="0" borderId="0" xfId="1" applyFont="1" applyBorder="1"/>
    <xf numFmtId="0" fontId="20" fillId="2" borderId="37" xfId="1" applyFont="1" applyFill="1" applyBorder="1" applyAlignment="1">
      <alignment horizontal="center" vertical="center"/>
    </xf>
    <xf numFmtId="43" fontId="20" fillId="2" borderId="38" xfId="1" applyNumberFormat="1" applyFont="1" applyFill="1" applyBorder="1" applyAlignment="1">
      <alignment horizontal="center" vertical="center"/>
    </xf>
    <xf numFmtId="0" fontId="6" fillId="0" borderId="0" xfId="1" applyFont="1" applyFill="1" applyBorder="1"/>
    <xf numFmtId="0" fontId="20" fillId="0" borderId="37" xfId="1" applyFont="1" applyBorder="1" applyAlignment="1">
      <alignment horizontal="center" vertical="center"/>
    </xf>
    <xf numFmtId="0" fontId="20" fillId="0" borderId="36" xfId="1" applyFont="1" applyFill="1" applyBorder="1" applyAlignment="1">
      <alignment vertical="center"/>
    </xf>
    <xf numFmtId="43" fontId="20" fillId="2" borderId="38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21" fillId="0" borderId="0" xfId="1" applyFont="1" applyBorder="1" applyAlignment="1"/>
    <xf numFmtId="0" fontId="21" fillId="0" borderId="44" xfId="1" applyFont="1" applyBorder="1" applyAlignment="1">
      <alignment horizontal="center"/>
    </xf>
    <xf numFmtId="0" fontId="21" fillId="0" borderId="45" xfId="1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21" fillId="0" borderId="43" xfId="1" applyFont="1" applyBorder="1" applyAlignment="1">
      <alignment horizontal="center"/>
    </xf>
    <xf numFmtId="0" fontId="22" fillId="3" borderId="46" xfId="1" applyFont="1" applyFill="1" applyBorder="1"/>
    <xf numFmtId="0" fontId="21" fillId="0" borderId="47" xfId="1" applyFont="1" applyBorder="1" applyAlignment="1"/>
    <xf numFmtId="0" fontId="21" fillId="0" borderId="44" xfId="1" applyFont="1" applyBorder="1" applyAlignment="1"/>
    <xf numFmtId="0" fontId="21" fillId="0" borderId="45" xfId="1" applyFont="1" applyBorder="1" applyAlignment="1"/>
    <xf numFmtId="0" fontId="16" fillId="0" borderId="46" xfId="1" applyFont="1" applyFill="1" applyBorder="1" applyAlignment="1">
      <alignment horizontal="left" vertical="center"/>
    </xf>
    <xf numFmtId="0" fontId="2" fillId="3" borderId="46" xfId="1" applyFont="1" applyFill="1" applyBorder="1" applyAlignment="1">
      <alignment vertical="center"/>
    </xf>
    <xf numFmtId="0" fontId="2" fillId="3" borderId="47" xfId="1" applyFont="1" applyFill="1" applyBorder="1" applyAlignment="1">
      <alignment vertical="center"/>
    </xf>
    <xf numFmtId="0" fontId="22" fillId="0" borderId="0" xfId="1" applyFont="1" applyFill="1" applyBorder="1"/>
    <xf numFmtId="0" fontId="3" fillId="0" borderId="0" xfId="1" applyFont="1" applyBorder="1"/>
    <xf numFmtId="0" fontId="3" fillId="0" borderId="0" xfId="1" applyFont="1"/>
    <xf numFmtId="0" fontId="23" fillId="0" borderId="0" xfId="0" applyFont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0" xfId="0" applyBorder="1" applyAlignment="1"/>
    <xf numFmtId="0" fontId="0" fillId="0" borderId="23" xfId="0" applyBorder="1"/>
    <xf numFmtId="0" fontId="0" fillId="0" borderId="21" xfId="0" applyBorder="1"/>
    <xf numFmtId="2" fontId="1" fillId="0" borderId="0" xfId="0" applyNumberFormat="1" applyFont="1" applyFill="1" applyBorder="1" applyAlignment="1">
      <alignment horizontal="left" vertical="center" wrapText="1"/>
    </xf>
    <xf numFmtId="0" fontId="20" fillId="0" borderId="33" xfId="1" applyFont="1" applyFill="1" applyBorder="1" applyAlignment="1">
      <alignment vertical="center"/>
    </xf>
    <xf numFmtId="0" fontId="20" fillId="0" borderId="36" xfId="1" applyFont="1" applyFill="1" applyBorder="1" applyAlignment="1">
      <alignment vertical="center" wrapText="1"/>
    </xf>
    <xf numFmtId="0" fontId="0" fillId="11" borderId="54" xfId="0" applyFill="1" applyBorder="1" applyAlignment="1">
      <alignment horizontal="center"/>
    </xf>
    <xf numFmtId="0" fontId="0" fillId="11" borderId="55" xfId="0" applyFill="1" applyBorder="1" applyAlignment="1">
      <alignment horizontal="center"/>
    </xf>
    <xf numFmtId="2" fontId="0" fillId="11" borderId="56" xfId="0" applyNumberFormat="1" applyFill="1" applyBorder="1" applyAlignment="1">
      <alignment horizontal="center"/>
    </xf>
    <xf numFmtId="0" fontId="0" fillId="11" borderId="57" xfId="0" applyFill="1" applyBorder="1" applyAlignment="1">
      <alignment horizontal="center"/>
    </xf>
    <xf numFmtId="0" fontId="0" fillId="11" borderId="58" xfId="0" applyFill="1" applyBorder="1" applyAlignment="1">
      <alignment horizontal="center"/>
    </xf>
    <xf numFmtId="2" fontId="0" fillId="11" borderId="59" xfId="0" applyNumberFormat="1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8" borderId="58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0" fillId="6" borderId="58" xfId="0" applyFill="1" applyBorder="1" applyAlignment="1">
      <alignment horizontal="center"/>
    </xf>
    <xf numFmtId="0" fontId="0" fillId="6" borderId="59" xfId="0" applyFill="1" applyBorder="1" applyAlignment="1">
      <alignment horizontal="center"/>
    </xf>
    <xf numFmtId="0" fontId="0" fillId="12" borderId="57" xfId="0" applyFill="1" applyBorder="1" applyAlignment="1">
      <alignment horizontal="center"/>
    </xf>
    <xf numFmtId="0" fontId="0" fillId="12" borderId="58" xfId="0" applyFill="1" applyBorder="1" applyAlignment="1">
      <alignment horizontal="center"/>
    </xf>
    <xf numFmtId="0" fontId="0" fillId="12" borderId="54" xfId="0" applyFill="1" applyBorder="1" applyAlignment="1">
      <alignment horizontal="center"/>
    </xf>
    <xf numFmtId="0" fontId="0" fillId="12" borderId="55" xfId="0" applyFill="1" applyBorder="1" applyAlignment="1">
      <alignment horizontal="center"/>
    </xf>
    <xf numFmtId="2" fontId="0" fillId="12" borderId="56" xfId="0" applyNumberFormat="1" applyFill="1" applyBorder="1" applyAlignment="1">
      <alignment horizontal="center"/>
    </xf>
    <xf numFmtId="2" fontId="0" fillId="12" borderId="59" xfId="0" applyNumberFormat="1" applyFill="1" applyBorder="1" applyAlignment="1">
      <alignment horizontal="center"/>
    </xf>
    <xf numFmtId="0" fontId="0" fillId="13" borderId="57" xfId="0" applyFill="1" applyBorder="1" applyAlignment="1">
      <alignment horizontal="center"/>
    </xf>
    <xf numFmtId="0" fontId="0" fillId="13" borderId="58" xfId="0" applyFill="1" applyBorder="1" applyAlignment="1">
      <alignment horizontal="center"/>
    </xf>
    <xf numFmtId="2" fontId="0" fillId="13" borderId="59" xfId="0" applyNumberForma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9" borderId="0" xfId="0" applyFill="1"/>
    <xf numFmtId="0" fontId="4" fillId="8" borderId="1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Fill="1"/>
    <xf numFmtId="0" fontId="4" fillId="11" borderId="1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7" fillId="46" borderId="28" xfId="47" applyFont="1" applyFill="1" applyBorder="1" applyAlignment="1">
      <alignment horizontal="center" vertical="center" wrapText="1"/>
    </xf>
    <xf numFmtId="0" fontId="47" fillId="46" borderId="28" xfId="47" applyFont="1" applyFill="1" applyBorder="1" applyAlignment="1">
      <alignment horizontal="left" vertical="center" wrapText="1"/>
    </xf>
    <xf numFmtId="166" fontId="47" fillId="46" borderId="28" xfId="54" applyNumberFormat="1" applyFont="1" applyFill="1" applyBorder="1" applyAlignment="1">
      <alignment horizontal="center" vertical="center" wrapText="1"/>
    </xf>
    <xf numFmtId="2" fontId="4" fillId="0" borderId="15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left" vertical="center" wrapText="1"/>
    </xf>
    <xf numFmtId="0" fontId="10" fillId="14" borderId="25" xfId="0" applyFont="1" applyFill="1" applyBorder="1" applyAlignment="1">
      <alignment horizontal="left" vertical="top" wrapText="1"/>
    </xf>
    <xf numFmtId="0" fontId="10" fillId="14" borderId="26" xfId="0" applyFont="1" applyFill="1" applyBorder="1" applyAlignment="1">
      <alignment horizontal="left" vertical="top" wrapText="1"/>
    </xf>
    <xf numFmtId="0" fontId="10" fillId="14" borderId="26" xfId="0" applyFont="1" applyFill="1" applyBorder="1" applyAlignment="1">
      <alignment horizontal="center" vertical="top" wrapText="1"/>
    </xf>
    <xf numFmtId="165" fontId="11" fillId="14" borderId="26" xfId="0" applyNumberFormat="1" applyFont="1" applyFill="1" applyBorder="1" applyAlignment="1">
      <alignment horizontal="right" vertical="top" wrapText="1"/>
    </xf>
    <xf numFmtId="4" fontId="11" fillId="14" borderId="26" xfId="0" applyNumberFormat="1" applyFont="1" applyFill="1" applyBorder="1" applyAlignment="1">
      <alignment horizontal="right" vertical="top" wrapText="1"/>
    </xf>
    <xf numFmtId="4" fontId="11" fillId="14" borderId="27" xfId="0" applyNumberFormat="1" applyFont="1" applyFill="1" applyBorder="1" applyAlignment="1">
      <alignment horizontal="right" vertical="top" wrapText="1"/>
    </xf>
    <xf numFmtId="0" fontId="11" fillId="14" borderId="25" xfId="0" applyFont="1" applyFill="1" applyBorder="1" applyAlignment="1">
      <alignment horizontal="right" vertical="top" wrapText="1"/>
    </xf>
    <xf numFmtId="0" fontId="11" fillId="14" borderId="26" xfId="0" applyFont="1" applyFill="1" applyBorder="1" applyAlignment="1">
      <alignment horizontal="left" vertical="top" wrapText="1"/>
    </xf>
    <xf numFmtId="0" fontId="11" fillId="14" borderId="26" xfId="0" applyFont="1" applyFill="1" applyBorder="1" applyAlignment="1">
      <alignment horizontal="center" vertical="top" wrapText="1"/>
    </xf>
    <xf numFmtId="0" fontId="11" fillId="14" borderId="41" xfId="0" applyFont="1" applyFill="1" applyBorder="1" applyAlignment="1">
      <alignment horizontal="right" vertical="top" wrapText="1"/>
    </xf>
    <xf numFmtId="0" fontId="11" fillId="14" borderId="42" xfId="0" applyFont="1" applyFill="1" applyBorder="1" applyAlignment="1">
      <alignment horizontal="left" vertical="top" wrapText="1"/>
    </xf>
    <xf numFmtId="4" fontId="11" fillId="14" borderId="42" xfId="0" applyNumberFormat="1" applyFont="1" applyFill="1" applyBorder="1" applyAlignment="1">
      <alignment horizontal="right" vertical="top" wrapText="1"/>
    </xf>
    <xf numFmtId="0" fontId="11" fillId="14" borderId="63" xfId="0" applyFont="1" applyFill="1" applyBorder="1" applyAlignment="1">
      <alignment horizontal="right" vertical="top" wrapText="1"/>
    </xf>
    <xf numFmtId="0" fontId="11" fillId="14" borderId="64" xfId="0" applyFont="1" applyFill="1" applyBorder="1" applyAlignment="1">
      <alignment horizontal="left" vertical="top" wrapText="1"/>
    </xf>
    <xf numFmtId="0" fontId="11" fillId="14" borderId="64" xfId="0" applyFont="1" applyFill="1" applyBorder="1" applyAlignment="1">
      <alignment horizontal="center" vertical="top" wrapText="1"/>
    </xf>
    <xf numFmtId="4" fontId="11" fillId="14" borderId="64" xfId="0" applyNumberFormat="1" applyFont="1" applyFill="1" applyBorder="1" applyAlignment="1">
      <alignment horizontal="right" vertical="top" wrapText="1"/>
    </xf>
    <xf numFmtId="4" fontId="11" fillId="14" borderId="65" xfId="0" applyNumberFormat="1" applyFont="1" applyFill="1" applyBorder="1" applyAlignment="1">
      <alignment horizontal="right" vertical="top" wrapText="1"/>
    </xf>
    <xf numFmtId="0" fontId="11" fillId="14" borderId="42" xfId="0" applyFont="1" applyFill="1" applyBorder="1" applyAlignment="1">
      <alignment horizontal="center" vertical="top" wrapText="1"/>
    </xf>
    <xf numFmtId="0" fontId="11" fillId="14" borderId="25" xfId="0" applyFont="1" applyFill="1" applyBorder="1" applyAlignment="1">
      <alignment horizontal="right" vertical="top" wrapText="1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0" xfId="0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4" fontId="54" fillId="0" borderId="0" xfId="0" applyNumberFormat="1" applyFont="1" applyFill="1" applyBorder="1" applyAlignment="1">
      <alignment horizontal="right" vertical="center"/>
    </xf>
    <xf numFmtId="14" fontId="12" fillId="0" borderId="0" xfId="0" quotePrefix="1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left" vertical="center"/>
    </xf>
    <xf numFmtId="10" fontId="12" fillId="0" borderId="0" xfId="57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56" fillId="0" borderId="0" xfId="0" applyFont="1" applyFill="1" applyBorder="1" applyAlignment="1">
      <alignment horizontal="left" vertical="top" indent="5"/>
    </xf>
    <xf numFmtId="4" fontId="53" fillId="0" borderId="0" xfId="0" applyNumberFormat="1" applyFont="1" applyFill="1" applyBorder="1" applyAlignment="1">
      <alignment horizontal="right" vertical="center"/>
    </xf>
    <xf numFmtId="0" fontId="56" fillId="0" borderId="0" xfId="0" applyFont="1" applyFill="1" applyBorder="1" applyAlignment="1">
      <alignment horizontal="right" vertical="center"/>
    </xf>
    <xf numFmtId="4" fontId="56" fillId="0" borderId="0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 wrapText="1"/>
    </xf>
    <xf numFmtId="4" fontId="12" fillId="6" borderId="28" xfId="0" applyNumberFormat="1" applyFont="1" applyFill="1" applyBorder="1" applyAlignment="1">
      <alignment horizontal="center" vertical="center" wrapText="1"/>
    </xf>
    <xf numFmtId="4" fontId="12" fillId="6" borderId="28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11" borderId="98" xfId="0" applyFont="1" applyFill="1" applyBorder="1" applyAlignment="1">
      <alignment vertical="center"/>
    </xf>
    <xf numFmtId="4" fontId="58" fillId="11" borderId="28" xfId="0" applyNumberFormat="1" applyFont="1" applyFill="1" applyBorder="1" applyAlignment="1">
      <alignment horizontal="right" vertical="center"/>
    </xf>
    <xf numFmtId="43" fontId="57" fillId="0" borderId="0" xfId="0" applyNumberFormat="1" applyFont="1" applyAlignment="1">
      <alignment vertical="center"/>
    </xf>
    <xf numFmtId="0" fontId="59" fillId="8" borderId="28" xfId="0" applyFont="1" applyFill="1" applyBorder="1" applyAlignment="1">
      <alignment vertical="center"/>
    </xf>
    <xf numFmtId="0" fontId="10" fillId="8" borderId="28" xfId="0" applyFont="1" applyFill="1" applyBorder="1" applyAlignment="1">
      <alignment vertical="top" wrapText="1"/>
    </xf>
    <xf numFmtId="0" fontId="10" fillId="8" borderId="28" xfId="0" applyFont="1" applyFill="1" applyBorder="1" applyAlignment="1">
      <alignment horizontal="left" vertical="top" wrapText="1"/>
    </xf>
    <xf numFmtId="43" fontId="10" fillId="8" borderId="28" xfId="0" applyNumberFormat="1" applyFont="1" applyFill="1" applyBorder="1" applyAlignment="1">
      <alignment vertical="top" wrapText="1"/>
    </xf>
    <xf numFmtId="43" fontId="11" fillId="0" borderId="55" xfId="0" applyNumberFormat="1" applyFont="1" applyFill="1" applyBorder="1" applyAlignment="1">
      <alignment horizontal="right" vertical="top" wrapText="1"/>
    </xf>
    <xf numFmtId="43" fontId="10" fillId="0" borderId="55" xfId="0" applyNumberFormat="1" applyFont="1" applyFill="1" applyBorder="1" applyAlignment="1">
      <alignment horizontal="right" vertical="top" wrapText="1"/>
    </xf>
    <xf numFmtId="0" fontId="11" fillId="0" borderId="95" xfId="0" applyFont="1" applyFill="1" applyBorder="1" applyAlignment="1">
      <alignment horizontal="center" vertical="top" wrapText="1"/>
    </xf>
    <xf numFmtId="43" fontId="11" fillId="0" borderId="95" xfId="0" applyNumberFormat="1" applyFont="1" applyFill="1" applyBorder="1" applyAlignment="1">
      <alignment horizontal="right" vertical="top" wrapText="1"/>
    </xf>
    <xf numFmtId="43" fontId="10" fillId="0" borderId="95" xfId="0" applyNumberFormat="1" applyFont="1" applyFill="1" applyBorder="1" applyAlignment="1">
      <alignment horizontal="right" vertical="top" wrapText="1"/>
    </xf>
    <xf numFmtId="43" fontId="11" fillId="0" borderId="78" xfId="0" applyNumberFormat="1" applyFont="1" applyFill="1" applyBorder="1" applyAlignment="1">
      <alignment horizontal="right" vertical="top" wrapText="1"/>
    </xf>
    <xf numFmtId="0" fontId="11" fillId="0" borderId="0" xfId="0" applyFont="1" applyAlignment="1">
      <alignment horizontal="left"/>
    </xf>
    <xf numFmtId="43" fontId="61" fillId="8" borderId="28" xfId="0" applyNumberFormat="1" applyFont="1" applyFill="1" applyBorder="1" applyAlignment="1">
      <alignment vertical="center"/>
    </xf>
    <xf numFmtId="43" fontId="52" fillId="0" borderId="0" xfId="0" applyNumberFormat="1" applyFont="1" applyAlignment="1">
      <alignment vertical="center"/>
    </xf>
    <xf numFmtId="43" fontId="51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 indent="7"/>
    </xf>
    <xf numFmtId="0" fontId="51" fillId="0" borderId="0" xfId="0" applyFont="1" applyFill="1"/>
    <xf numFmtId="0" fontId="51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left" vertical="top" indent="1"/>
    </xf>
    <xf numFmtId="0" fontId="56" fillId="0" borderId="0" xfId="0" applyFont="1" applyFill="1" applyBorder="1" applyAlignment="1">
      <alignment vertical="top"/>
    </xf>
    <xf numFmtId="0" fontId="62" fillId="0" borderId="0" xfId="0" applyFont="1"/>
    <xf numFmtId="0" fontId="60" fillId="0" borderId="0" xfId="0" applyFont="1"/>
    <xf numFmtId="0" fontId="63" fillId="6" borderId="101" xfId="45" applyFont="1" applyFill="1" applyBorder="1" applyAlignment="1">
      <alignment horizontal="center" vertical="center"/>
    </xf>
    <xf numFmtId="0" fontId="63" fillId="6" borderId="101" xfId="45" applyFont="1" applyFill="1" applyBorder="1" applyAlignment="1">
      <alignment vertical="center" wrapText="1"/>
    </xf>
    <xf numFmtId="43" fontId="64" fillId="6" borderId="101" xfId="45" applyNumberFormat="1" applyFont="1" applyFill="1" applyBorder="1" applyAlignment="1">
      <alignment horizontal="center" vertical="center"/>
    </xf>
    <xf numFmtId="0" fontId="62" fillId="6" borderId="102" xfId="0" applyFont="1" applyFill="1" applyBorder="1" applyAlignment="1">
      <alignment horizontal="center"/>
    </xf>
    <xf numFmtId="0" fontId="62" fillId="6" borderId="101" xfId="0" applyFont="1" applyFill="1" applyBorder="1" applyAlignment="1">
      <alignment horizontal="center"/>
    </xf>
    <xf numFmtId="0" fontId="64" fillId="6" borderId="78" xfId="45" applyFont="1" applyFill="1" applyBorder="1" applyAlignment="1">
      <alignment horizontal="center" vertical="center"/>
    </xf>
    <xf numFmtId="0" fontId="64" fillId="6" borderId="78" xfId="45" applyFont="1" applyFill="1" applyBorder="1" applyAlignment="1">
      <alignment horizontal="left" vertical="center" wrapText="1"/>
    </xf>
    <xf numFmtId="43" fontId="64" fillId="6" borderId="78" xfId="45" applyNumberFormat="1" applyFont="1" applyFill="1" applyBorder="1" applyAlignment="1">
      <alignment horizontal="center" vertical="center"/>
    </xf>
    <xf numFmtId="0" fontId="64" fillId="6" borderId="103" xfId="45" applyFont="1" applyFill="1" applyBorder="1" applyAlignment="1">
      <alignment horizontal="center" vertical="center"/>
    </xf>
    <xf numFmtId="0" fontId="64" fillId="6" borderId="103" xfId="45" applyFont="1" applyFill="1" applyBorder="1" applyAlignment="1">
      <alignment vertical="center" wrapText="1"/>
    </xf>
    <xf numFmtId="43" fontId="64" fillId="6" borderId="103" xfId="45" applyNumberFormat="1" applyFont="1" applyFill="1" applyBorder="1" applyAlignment="1">
      <alignment horizontal="center" vertical="center"/>
    </xf>
    <xf numFmtId="0" fontId="62" fillId="6" borderId="104" xfId="0" applyFont="1" applyFill="1" applyBorder="1" applyAlignment="1">
      <alignment horizontal="center"/>
    </xf>
    <xf numFmtId="0" fontId="62" fillId="6" borderId="103" xfId="0" applyFont="1" applyFill="1" applyBorder="1" applyAlignment="1">
      <alignment horizontal="center"/>
    </xf>
    <xf numFmtId="0" fontId="65" fillId="0" borderId="0" xfId="0" applyFont="1"/>
    <xf numFmtId="0" fontId="64" fillId="8" borderId="78" xfId="45" applyFont="1" applyFill="1" applyBorder="1" applyAlignment="1">
      <alignment horizontal="center" vertical="center"/>
    </xf>
    <xf numFmtId="0" fontId="64" fillId="8" borderId="78" xfId="45" applyFont="1" applyFill="1" applyBorder="1" applyAlignment="1">
      <alignment horizontal="left" vertical="center" wrapText="1" indent="2"/>
    </xf>
    <xf numFmtId="43" fontId="64" fillId="8" borderId="78" xfId="45" applyNumberFormat="1" applyFont="1" applyFill="1" applyBorder="1" applyAlignment="1">
      <alignment vertical="center"/>
    </xf>
    <xf numFmtId="10" fontId="64" fillId="8" borderId="78" xfId="57" applyNumberFormat="1" applyFont="1" applyFill="1" applyBorder="1" applyAlignment="1">
      <alignment horizontal="right" vertical="center"/>
    </xf>
    <xf numFmtId="10" fontId="65" fillId="0" borderId="0" xfId="0" applyNumberFormat="1" applyFont="1"/>
    <xf numFmtId="43" fontId="65" fillId="0" borderId="0" xfId="0" applyNumberFormat="1" applyFont="1"/>
    <xf numFmtId="0" fontId="65" fillId="0" borderId="0" xfId="0" applyFont="1" applyFill="1"/>
    <xf numFmtId="0" fontId="60" fillId="0" borderId="0" xfId="0" applyFont="1" applyFill="1"/>
    <xf numFmtId="0" fontId="64" fillId="0" borderId="78" xfId="45" applyFont="1" applyFill="1" applyBorder="1" applyAlignment="1">
      <alignment horizontal="center" vertical="center"/>
    </xf>
    <xf numFmtId="0" fontId="64" fillId="0" borderId="78" xfId="45" applyFont="1" applyFill="1" applyBorder="1" applyAlignment="1">
      <alignment horizontal="left" vertical="center" wrapText="1" indent="2"/>
    </xf>
    <xf numFmtId="43" fontId="64" fillId="0" borderId="78" xfId="45" applyNumberFormat="1" applyFont="1" applyFill="1" applyBorder="1" applyAlignment="1">
      <alignment vertical="center"/>
    </xf>
    <xf numFmtId="10" fontId="64" fillId="0" borderId="78" xfId="57" applyNumberFormat="1" applyFont="1" applyFill="1" applyBorder="1" applyAlignment="1">
      <alignment horizontal="right" vertical="center"/>
    </xf>
    <xf numFmtId="0" fontId="11" fillId="0" borderId="0" xfId="0" applyFont="1" applyFill="1"/>
    <xf numFmtId="10" fontId="65" fillId="0" borderId="0" xfId="0" applyNumberFormat="1" applyFont="1" applyFill="1"/>
    <xf numFmtId="43" fontId="65" fillId="0" borderId="0" xfId="0" applyNumberFormat="1" applyFont="1" applyFill="1"/>
    <xf numFmtId="0" fontId="11" fillId="0" borderId="0" xfId="0" applyFont="1"/>
    <xf numFmtId="0" fontId="60" fillId="2" borderId="0" xfId="0" applyFont="1" applyFill="1"/>
    <xf numFmtId="0" fontId="64" fillId="2" borderId="78" xfId="45" applyFont="1" applyFill="1" applyBorder="1" applyAlignment="1">
      <alignment horizontal="center" vertical="center"/>
    </xf>
    <xf numFmtId="0" fontId="64" fillId="2" borderId="78" xfId="45" applyFont="1" applyFill="1" applyBorder="1" applyAlignment="1">
      <alignment horizontal="left" vertical="center" wrapText="1" indent="2"/>
    </xf>
    <xf numFmtId="43" fontId="64" fillId="2" borderId="78" xfId="45" applyNumberFormat="1" applyFont="1" applyFill="1" applyBorder="1" applyAlignment="1">
      <alignment vertical="center"/>
    </xf>
    <xf numFmtId="10" fontId="64" fillId="2" borderId="78" xfId="57" applyNumberFormat="1" applyFont="1" applyFill="1" applyBorder="1" applyAlignment="1">
      <alignment horizontal="right" vertical="center"/>
    </xf>
    <xf numFmtId="0" fontId="65" fillId="2" borderId="0" xfId="0" applyFont="1" applyFill="1"/>
    <xf numFmtId="0" fontId="11" fillId="2" borderId="0" xfId="0" applyFont="1" applyFill="1"/>
    <xf numFmtId="10" fontId="65" fillId="2" borderId="0" xfId="0" applyNumberFormat="1" applyFont="1" applyFill="1"/>
    <xf numFmtId="43" fontId="65" fillId="2" borderId="0" xfId="0" applyNumberFormat="1" applyFont="1" applyFill="1"/>
    <xf numFmtId="0" fontId="60" fillId="8" borderId="0" xfId="0" applyFont="1" applyFill="1"/>
    <xf numFmtId="0" fontId="65" fillId="8" borderId="0" xfId="0" applyFont="1" applyFill="1"/>
    <xf numFmtId="0" fontId="11" fillId="8" borderId="0" xfId="0" applyFont="1" applyFill="1"/>
    <xf numFmtId="10" fontId="65" fillId="8" borderId="0" xfId="0" applyNumberFormat="1" applyFont="1" applyFill="1"/>
    <xf numFmtId="43" fontId="65" fillId="8" borderId="0" xfId="0" applyNumberFormat="1" applyFont="1" applyFill="1"/>
    <xf numFmtId="0" fontId="66" fillId="0" borderId="28" xfId="0" applyFont="1" applyBorder="1"/>
    <xf numFmtId="0" fontId="66" fillId="0" borderId="28" xfId="0" applyFont="1" applyBorder="1" applyAlignment="1">
      <alignment horizontal="right"/>
    </xf>
    <xf numFmtId="43" fontId="66" fillId="0" borderId="28" xfId="0" applyNumberFormat="1" applyFont="1" applyBorder="1" applyAlignment="1">
      <alignment horizontal="center"/>
    </xf>
    <xf numFmtId="10" fontId="66" fillId="0" borderId="28" xfId="0" applyNumberFormat="1" applyFont="1" applyBorder="1"/>
    <xf numFmtId="167" fontId="66" fillId="0" borderId="28" xfId="57" applyNumberFormat="1" applyFont="1" applyBorder="1" applyAlignment="1">
      <alignment horizontal="center"/>
    </xf>
    <xf numFmtId="0" fontId="67" fillId="0" borderId="0" xfId="0" applyFont="1"/>
    <xf numFmtId="167" fontId="68" fillId="0" borderId="28" xfId="57" applyNumberFormat="1" applyFont="1" applyBorder="1" applyAlignment="1">
      <alignment horizontal="center"/>
    </xf>
    <xf numFmtId="43" fontId="51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/>
    <xf numFmtId="167" fontId="66" fillId="0" borderId="0" xfId="57" applyNumberFormat="1" applyFont="1" applyBorder="1" applyAlignment="1">
      <alignment horizontal="center"/>
    </xf>
    <xf numFmtId="0" fontId="11" fillId="0" borderId="0" xfId="0" applyFont="1" applyFill="1" applyBorder="1" applyAlignment="1">
      <alignment vertical="top"/>
    </xf>
    <xf numFmtId="0" fontId="53" fillId="0" borderId="0" xfId="0" applyFont="1" applyFill="1" applyBorder="1" applyAlignment="1">
      <alignment horizontal="left" vertical="center" indent="5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top"/>
    </xf>
    <xf numFmtId="0" fontId="53" fillId="0" borderId="0" xfId="0" applyFont="1" applyFill="1" applyBorder="1" applyAlignment="1">
      <alignment horizontal="left" vertical="center" indent="4"/>
    </xf>
    <xf numFmtId="0" fontId="60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top" indent="5"/>
    </xf>
    <xf numFmtId="0" fontId="11" fillId="0" borderId="105" xfId="0" applyFont="1" applyFill="1" applyBorder="1" applyAlignment="1">
      <alignment horizontal="right" vertical="top" wrapText="1"/>
    </xf>
    <xf numFmtId="0" fontId="11" fillId="0" borderId="105" xfId="0" applyFont="1" applyFill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center" vertical="top"/>
    </xf>
    <xf numFmtId="4" fontId="53" fillId="0" borderId="0" xfId="0" applyNumberFormat="1" applyFont="1" applyBorder="1" applyAlignment="1">
      <alignment horizontal="right" vertical="top" wrapText="1"/>
    </xf>
    <xf numFmtId="0" fontId="10" fillId="8" borderId="106" xfId="0" applyFont="1" applyFill="1" applyBorder="1" applyAlignment="1">
      <alignment horizontal="left" vertical="top" wrapText="1"/>
    </xf>
    <xf numFmtId="0" fontId="10" fillId="8" borderId="100" xfId="0" applyFont="1" applyFill="1" applyBorder="1" applyAlignment="1">
      <alignment horizontal="left" vertical="top" wrapText="1"/>
    </xf>
    <xf numFmtId="0" fontId="10" fillId="8" borderId="100" xfId="0" applyFont="1" applyFill="1" applyBorder="1" applyAlignment="1">
      <alignment horizontal="center" vertical="top" wrapText="1"/>
    </xf>
    <xf numFmtId="165" fontId="11" fillId="8" borderId="100" xfId="0" applyNumberFormat="1" applyFont="1" applyFill="1" applyBorder="1" applyAlignment="1">
      <alignment horizontal="right" vertical="top" wrapText="1"/>
    </xf>
    <xf numFmtId="4" fontId="11" fillId="8" borderId="100" xfId="0" applyNumberFormat="1" applyFont="1" applyFill="1" applyBorder="1" applyAlignment="1">
      <alignment horizontal="right" vertical="top" wrapText="1"/>
    </xf>
    <xf numFmtId="4" fontId="11" fillId="8" borderId="107" xfId="0" applyNumberFormat="1" applyFont="1" applyFill="1" applyBorder="1" applyAlignment="1">
      <alignment horizontal="right" vertical="top" wrapText="1"/>
    </xf>
    <xf numFmtId="0" fontId="11" fillId="0" borderId="106" xfId="0" applyFont="1" applyFill="1" applyBorder="1" applyAlignment="1">
      <alignment horizontal="right" vertical="top" wrapText="1"/>
    </xf>
    <xf numFmtId="0" fontId="11" fillId="0" borderId="100" xfId="0" applyFont="1" applyFill="1" applyBorder="1" applyAlignment="1">
      <alignment horizontal="left" vertical="top" wrapText="1"/>
    </xf>
    <xf numFmtId="0" fontId="11" fillId="0" borderId="100" xfId="0" applyFont="1" applyFill="1" applyBorder="1" applyAlignment="1">
      <alignment horizontal="center" vertical="top" wrapText="1"/>
    </xf>
    <xf numFmtId="165" fontId="11" fillId="0" borderId="100" xfId="0" applyNumberFormat="1" applyFont="1" applyFill="1" applyBorder="1" applyAlignment="1">
      <alignment horizontal="right" vertical="top" wrapText="1"/>
    </xf>
    <xf numFmtId="4" fontId="11" fillId="0" borderId="100" xfId="0" applyNumberFormat="1" applyFont="1" applyFill="1" applyBorder="1" applyAlignment="1">
      <alignment horizontal="right" vertical="top" wrapText="1"/>
    </xf>
    <xf numFmtId="4" fontId="11" fillId="0" borderId="107" xfId="0" applyNumberFormat="1" applyFont="1" applyFill="1" applyBorder="1" applyAlignment="1">
      <alignment horizontal="right" vertical="top" wrapText="1"/>
    </xf>
    <xf numFmtId="4" fontId="11" fillId="8" borderId="107" xfId="0" applyNumberFormat="1" applyFont="1" applyFill="1" applyBorder="1" applyAlignment="1">
      <alignment horizontal="right" vertical="top"/>
    </xf>
    <xf numFmtId="4" fontId="10" fillId="8" borderId="107" xfId="0" applyNumberFormat="1" applyFont="1" applyFill="1" applyBorder="1" applyAlignment="1">
      <alignment horizontal="right" vertical="top"/>
    </xf>
    <xf numFmtId="4" fontId="11" fillId="5" borderId="107" xfId="0" applyNumberFormat="1" applyFont="1" applyFill="1" applyBorder="1" applyAlignment="1">
      <alignment horizontal="right" vertical="top"/>
    </xf>
    <xf numFmtId="4" fontId="10" fillId="47" borderId="107" xfId="0" applyNumberFormat="1" applyFont="1" applyFill="1" applyBorder="1" applyAlignment="1">
      <alignment horizontal="right" vertical="top"/>
    </xf>
    <xf numFmtId="0" fontId="11" fillId="8" borderId="106" xfId="0" applyFont="1" applyFill="1" applyBorder="1" applyAlignment="1">
      <alignment horizontal="right" vertical="top"/>
    </xf>
    <xf numFmtId="0" fontId="11" fillId="8" borderId="100" xfId="0" applyFont="1" applyFill="1" applyBorder="1" applyAlignment="1">
      <alignment horizontal="right" vertical="top"/>
    </xf>
    <xf numFmtId="4" fontId="10" fillId="47" borderId="111" xfId="0" applyNumberFormat="1" applyFont="1" applyFill="1" applyBorder="1" applyAlignment="1">
      <alignment horizontal="right" vertical="top"/>
    </xf>
    <xf numFmtId="0" fontId="61" fillId="6" borderId="98" xfId="0" applyFont="1" applyFill="1" applyBorder="1"/>
    <xf numFmtId="0" fontId="61" fillId="6" borderId="99" xfId="0" applyFont="1" applyFill="1" applyBorder="1" applyAlignment="1">
      <alignment wrapText="1"/>
    </xf>
    <xf numFmtId="0" fontId="61" fillId="6" borderId="99" xfId="0" applyFont="1" applyFill="1" applyBorder="1"/>
    <xf numFmtId="0" fontId="61" fillId="6" borderId="99" xfId="0" applyFont="1" applyFill="1" applyBorder="1" applyAlignment="1">
      <alignment horizontal="right" indent="1"/>
    </xf>
    <xf numFmtId="43" fontId="61" fillId="6" borderId="28" xfId="0" applyNumberFormat="1" applyFont="1" applyFill="1" applyBorder="1"/>
    <xf numFmtId="0" fontId="61" fillId="0" borderId="0" xfId="0" applyFont="1"/>
    <xf numFmtId="0" fontId="60" fillId="0" borderId="0" xfId="0" applyFont="1" applyAlignment="1">
      <alignment wrapText="1"/>
    </xf>
    <xf numFmtId="0" fontId="60" fillId="14" borderId="55" xfId="0" applyFont="1" applyFill="1" applyBorder="1" applyAlignment="1">
      <alignment vertical="center"/>
    </xf>
    <xf numFmtId="0" fontId="11" fillId="14" borderId="55" xfId="0" applyFont="1" applyFill="1" applyBorder="1" applyAlignment="1">
      <alignment horizontal="left" vertical="top" wrapText="1"/>
    </xf>
    <xf numFmtId="0" fontId="11" fillId="14" borderId="55" xfId="0" applyFont="1" applyFill="1" applyBorder="1" applyAlignment="1">
      <alignment horizontal="center" vertical="top" wrapText="1"/>
    </xf>
    <xf numFmtId="2" fontId="11" fillId="14" borderId="55" xfId="0" applyNumberFormat="1" applyFont="1" applyFill="1" applyBorder="1" applyAlignment="1">
      <alignment horizontal="left" vertical="top" wrapText="1"/>
    </xf>
    <xf numFmtId="43" fontId="11" fillId="14" borderId="55" xfId="0" applyNumberFormat="1" applyFont="1" applyFill="1" applyBorder="1" applyAlignment="1">
      <alignment horizontal="right" vertical="top" wrapText="1"/>
    </xf>
    <xf numFmtId="0" fontId="60" fillId="14" borderId="95" xfId="0" applyFont="1" applyFill="1" applyBorder="1" applyAlignment="1">
      <alignment vertical="center"/>
    </xf>
    <xf numFmtId="0" fontId="11" fillId="14" borderId="95" xfId="0" applyFont="1" applyFill="1" applyBorder="1" applyAlignment="1">
      <alignment horizontal="center" vertical="top" wrapText="1"/>
    </xf>
    <xf numFmtId="0" fontId="61" fillId="8" borderId="98" xfId="0" applyFont="1" applyFill="1" applyBorder="1" applyAlignment="1">
      <alignment vertical="center"/>
    </xf>
    <xf numFmtId="0" fontId="61" fillId="8" borderId="99" xfId="0" applyFont="1" applyFill="1" applyBorder="1" applyAlignment="1">
      <alignment vertical="center"/>
    </xf>
    <xf numFmtId="0" fontId="61" fillId="8" borderId="29" xfId="0" applyFont="1" applyFill="1" applyBorder="1" applyAlignment="1">
      <alignment vertical="center"/>
    </xf>
    <xf numFmtId="0" fontId="56" fillId="11" borderId="99" xfId="0" applyFont="1" applyFill="1" applyBorder="1" applyAlignment="1">
      <alignment vertical="center"/>
    </xf>
    <xf numFmtId="0" fontId="11" fillId="14" borderId="95" xfId="0" applyFont="1" applyFill="1" applyBorder="1" applyAlignment="1">
      <alignment horizontal="left" vertical="top" wrapText="1"/>
    </xf>
    <xf numFmtId="43" fontId="11" fillId="14" borderId="95" xfId="0" applyNumberFormat="1" applyFont="1" applyFill="1" applyBorder="1" applyAlignment="1">
      <alignment horizontal="right" vertical="top" wrapText="1"/>
    </xf>
    <xf numFmtId="43" fontId="11" fillId="4" borderId="95" xfId="0" applyNumberFormat="1" applyFont="1" applyFill="1" applyBorder="1" applyAlignment="1">
      <alignment horizontal="right" vertical="top" wrapText="1"/>
    </xf>
    <xf numFmtId="0" fontId="51" fillId="0" borderId="0" xfId="0" applyFont="1" applyBorder="1" applyAlignment="1">
      <alignment horizontal="center" vertical="center"/>
    </xf>
    <xf numFmtId="43" fontId="11" fillId="14" borderId="78" xfId="0" applyNumberFormat="1" applyFont="1" applyFill="1" applyBorder="1" applyAlignment="1">
      <alignment horizontal="right" vertical="top" wrapText="1"/>
    </xf>
    <xf numFmtId="0" fontId="11" fillId="14" borderId="95" xfId="0" applyFont="1" applyFill="1" applyBorder="1" applyAlignment="1">
      <alignment vertical="top" wrapText="1"/>
    </xf>
    <xf numFmtId="0" fontId="11" fillId="0" borderId="58" xfId="0" applyFont="1" applyFill="1" applyBorder="1" applyAlignment="1">
      <alignment horizontal="center" vertical="top" wrapText="1"/>
    </xf>
    <xf numFmtId="43" fontId="11" fillId="0" borderId="58" xfId="0" applyNumberFormat="1" applyFont="1" applyFill="1" applyBorder="1" applyAlignment="1">
      <alignment horizontal="right" vertical="top" wrapText="1"/>
    </xf>
    <xf numFmtId="43" fontId="10" fillId="0" borderId="58" xfId="0" applyNumberFormat="1" applyFont="1" applyFill="1" applyBorder="1" applyAlignment="1">
      <alignment horizontal="right" vertical="top" wrapText="1"/>
    </xf>
    <xf numFmtId="2" fontId="11" fillId="14" borderId="95" xfId="0" applyNumberFormat="1" applyFont="1" applyFill="1" applyBorder="1" applyAlignment="1">
      <alignment horizontal="center" vertical="top" wrapText="1"/>
    </xf>
    <xf numFmtId="2" fontId="11" fillId="14" borderId="58" xfId="0" applyNumberFormat="1" applyFont="1" applyFill="1" applyBorder="1" applyAlignment="1">
      <alignment horizontal="center" vertical="top" wrapText="1"/>
    </xf>
    <xf numFmtId="0" fontId="11" fillId="14" borderId="58" xfId="0" applyFont="1" applyFill="1" applyBorder="1" applyAlignment="1">
      <alignment horizontal="left" vertical="top" wrapText="1"/>
    </xf>
    <xf numFmtId="0" fontId="11" fillId="14" borderId="95" xfId="0" applyNumberFormat="1" applyFont="1" applyFill="1" applyBorder="1" applyAlignment="1">
      <alignment horizontal="center" vertical="top" wrapText="1"/>
    </xf>
    <xf numFmtId="43" fontId="11" fillId="14" borderId="58" xfId="0" applyNumberFormat="1" applyFont="1" applyFill="1" applyBorder="1" applyAlignment="1">
      <alignment horizontal="right" vertical="top" wrapText="1"/>
    </xf>
    <xf numFmtId="0" fontId="55" fillId="0" borderId="0" xfId="0" applyFont="1" applyFill="1" applyBorder="1" applyAlignment="1">
      <alignment horizontal="left" vertical="center" indent="5"/>
    </xf>
    <xf numFmtId="0" fontId="67" fillId="0" borderId="0" xfId="0" applyFont="1" applyFill="1" applyAlignment="1">
      <alignment vertical="center"/>
    </xf>
    <xf numFmtId="0" fontId="67" fillId="0" borderId="0" xfId="0" applyFont="1" applyFill="1" applyAlignment="1">
      <alignment horizontal="left" vertical="center"/>
    </xf>
    <xf numFmtId="0" fontId="60" fillId="14" borderId="58" xfId="0" applyFont="1" applyFill="1" applyBorder="1" applyAlignment="1">
      <alignment vertical="center"/>
    </xf>
    <xf numFmtId="43" fontId="10" fillId="14" borderId="95" xfId="0" applyNumberFormat="1" applyFont="1" applyFill="1" applyBorder="1" applyAlignment="1">
      <alignment horizontal="right" vertical="top" wrapText="1"/>
    </xf>
    <xf numFmtId="2" fontId="11" fillId="14" borderId="95" xfId="0" applyNumberFormat="1" applyFont="1" applyFill="1" applyBorder="1" applyAlignment="1">
      <alignment horizontal="left" vertical="top" wrapText="1"/>
    </xf>
    <xf numFmtId="0" fontId="7" fillId="0" borderId="0" xfId="50" applyFont="1" applyAlignment="1">
      <alignment vertical="center"/>
    </xf>
    <xf numFmtId="0" fontId="7" fillId="0" borderId="0" xfId="50" applyFont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48" fillId="0" borderId="0" xfId="0" applyFont="1" applyBorder="1"/>
    <xf numFmtId="0" fontId="0" fillId="0" borderId="0" xfId="0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 wrapText="1"/>
    </xf>
    <xf numFmtId="0" fontId="20" fillId="0" borderId="114" xfId="0" applyFont="1" applyFill="1" applyBorder="1" applyAlignment="1">
      <alignment vertical="center"/>
    </xf>
    <xf numFmtId="0" fontId="20" fillId="0" borderId="115" xfId="0" applyFont="1" applyBorder="1" applyAlignment="1">
      <alignment horizontal="center" vertical="center"/>
    </xf>
    <xf numFmtId="0" fontId="20" fillId="0" borderId="117" xfId="1" applyFont="1" applyFill="1" applyBorder="1" applyAlignment="1">
      <alignment vertical="center"/>
    </xf>
    <xf numFmtId="0" fontId="20" fillId="0" borderId="118" xfId="1" applyFont="1" applyBorder="1" applyAlignment="1">
      <alignment horizontal="center" vertical="center"/>
    </xf>
    <xf numFmtId="43" fontId="20" fillId="0" borderId="119" xfId="1" applyNumberFormat="1" applyFont="1" applyBorder="1" applyAlignment="1">
      <alignment vertical="center"/>
    </xf>
    <xf numFmtId="0" fontId="20" fillId="0" borderId="120" xfId="0" applyFont="1" applyFill="1" applyBorder="1" applyAlignment="1">
      <alignment vertical="center"/>
    </xf>
    <xf numFmtId="0" fontId="20" fillId="0" borderId="121" xfId="0" applyFont="1" applyBorder="1" applyAlignment="1">
      <alignment horizontal="center" vertical="center"/>
    </xf>
    <xf numFmtId="43" fontId="20" fillId="0" borderId="122" xfId="0" applyNumberFormat="1" applyFont="1" applyFill="1" applyBorder="1" applyAlignment="1">
      <alignment vertical="center"/>
    </xf>
    <xf numFmtId="43" fontId="20" fillId="0" borderId="116" xfId="0" applyNumberFormat="1" applyFont="1" applyFill="1" applyBorder="1" applyAlignment="1">
      <alignment vertical="center"/>
    </xf>
    <xf numFmtId="0" fontId="11" fillId="4" borderId="25" xfId="0" applyFont="1" applyFill="1" applyBorder="1" applyAlignment="1">
      <alignment horizontal="right" vertical="top" wrapText="1"/>
    </xf>
    <xf numFmtId="0" fontId="11" fillId="4" borderId="26" xfId="0" applyFont="1" applyFill="1" applyBorder="1" applyAlignment="1">
      <alignment horizontal="left" vertical="top" wrapText="1"/>
    </xf>
    <xf numFmtId="0" fontId="25" fillId="8" borderId="51" xfId="0" applyFont="1" applyFill="1" applyBorder="1" applyAlignment="1">
      <alignment horizontal="center" vertical="center"/>
    </xf>
    <xf numFmtId="0" fontId="25" fillId="8" borderId="52" xfId="0" applyFont="1" applyFill="1" applyBorder="1" applyAlignment="1">
      <alignment horizontal="center" vertical="center"/>
    </xf>
    <xf numFmtId="0" fontId="25" fillId="8" borderId="53" xfId="0" applyFont="1" applyFill="1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22" xfId="0" applyBorder="1" applyAlignment="1">
      <alignment horizontal="center" vertical="center" wrapText="1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wrapText="1"/>
    </xf>
    <xf numFmtId="0" fontId="0" fillId="0" borderId="126" xfId="0" applyBorder="1" applyAlignment="1">
      <alignment horizontal="center" vertical="center"/>
    </xf>
    <xf numFmtId="0" fontId="0" fillId="0" borderId="125" xfId="0" applyBorder="1" applyAlignment="1">
      <alignment horizontal="center" vertical="center" wrapText="1"/>
    </xf>
    <xf numFmtId="0" fontId="0" fillId="0" borderId="128" xfId="0" applyBorder="1" applyAlignment="1">
      <alignment horizontal="center" vertical="center" wrapText="1"/>
    </xf>
    <xf numFmtId="0" fontId="0" fillId="0" borderId="96" xfId="0" applyBorder="1" applyAlignment="1">
      <alignment wrapText="1"/>
    </xf>
    <xf numFmtId="0" fontId="0" fillId="0" borderId="96" xfId="0" applyBorder="1" applyAlignment="1">
      <alignment horizontal="center" vertical="center"/>
    </xf>
    <xf numFmtId="2" fontId="0" fillId="48" borderId="23" xfId="0" applyNumberFormat="1" applyFill="1" applyBorder="1" applyAlignment="1">
      <alignment horizontal="right" vertical="center" wrapText="1"/>
    </xf>
    <xf numFmtId="2" fontId="0" fillId="48" borderId="127" xfId="0" applyNumberFormat="1" applyFill="1" applyBorder="1" applyAlignment="1">
      <alignment horizontal="right" vertical="center"/>
    </xf>
    <xf numFmtId="43" fontId="0" fillId="48" borderId="127" xfId="0" applyNumberFormat="1" applyFill="1" applyBorder="1" applyAlignment="1">
      <alignment horizontal="right" vertical="center"/>
    </xf>
    <xf numFmtId="4" fontId="11" fillId="4" borderId="64" xfId="0" applyNumberFormat="1" applyFont="1" applyFill="1" applyBorder="1" applyAlignment="1">
      <alignment horizontal="right" vertical="top" wrapText="1"/>
    </xf>
    <xf numFmtId="0" fontId="10" fillId="48" borderId="25" xfId="0" applyFont="1" applyFill="1" applyBorder="1" applyAlignment="1">
      <alignment horizontal="left" vertical="top" wrapText="1"/>
    </xf>
    <xf numFmtId="0" fontId="10" fillId="48" borderId="26" xfId="0" applyFont="1" applyFill="1" applyBorder="1" applyAlignment="1">
      <alignment horizontal="left" vertical="top" wrapText="1"/>
    </xf>
    <xf numFmtId="0" fontId="10" fillId="48" borderId="26" xfId="0" applyFont="1" applyFill="1" applyBorder="1" applyAlignment="1">
      <alignment horizontal="center" vertical="top" wrapText="1"/>
    </xf>
    <xf numFmtId="165" fontId="11" fillId="48" borderId="26" xfId="0" applyNumberFormat="1" applyFont="1" applyFill="1" applyBorder="1" applyAlignment="1">
      <alignment horizontal="right" vertical="top" wrapText="1"/>
    </xf>
    <xf numFmtId="4" fontId="11" fillId="48" borderId="26" xfId="0" applyNumberFormat="1" applyFont="1" applyFill="1" applyBorder="1" applyAlignment="1">
      <alignment horizontal="right" vertical="top" wrapText="1"/>
    </xf>
    <xf numFmtId="4" fontId="11" fillId="48" borderId="27" xfId="0" applyNumberFormat="1" applyFont="1" applyFill="1" applyBorder="1" applyAlignment="1">
      <alignment horizontal="right" vertical="top" wrapText="1"/>
    </xf>
    <xf numFmtId="0" fontId="11" fillId="48" borderId="25" xfId="0" applyFont="1" applyFill="1" applyBorder="1" applyAlignment="1">
      <alignment horizontal="right" vertical="top" wrapText="1"/>
    </xf>
    <xf numFmtId="0" fontId="11" fillId="48" borderId="26" xfId="0" applyFont="1" applyFill="1" applyBorder="1" applyAlignment="1">
      <alignment horizontal="left" vertical="top" wrapText="1"/>
    </xf>
    <xf numFmtId="0" fontId="11" fillId="48" borderId="26" xfId="0" applyFont="1" applyFill="1" applyBorder="1" applyAlignment="1">
      <alignment horizontal="center" vertical="top" wrapText="1"/>
    </xf>
    <xf numFmtId="4" fontId="11" fillId="48" borderId="64" xfId="0" applyNumberFormat="1" applyFont="1" applyFill="1" applyBorder="1" applyAlignment="1">
      <alignment horizontal="right" vertical="top" wrapText="1"/>
    </xf>
    <xf numFmtId="4" fontId="11" fillId="48" borderId="65" xfId="0" applyNumberFormat="1" applyFont="1" applyFill="1" applyBorder="1" applyAlignment="1">
      <alignment horizontal="right" vertical="top" wrapText="1"/>
    </xf>
    <xf numFmtId="0" fontId="11" fillId="48" borderId="63" xfId="0" applyFont="1" applyFill="1" applyBorder="1" applyAlignment="1">
      <alignment horizontal="right" vertical="top" wrapText="1"/>
    </xf>
    <xf numFmtId="0" fontId="11" fillId="48" borderId="64" xfId="0" applyFont="1" applyFill="1" applyBorder="1" applyAlignment="1">
      <alignment horizontal="left" vertical="top" wrapText="1"/>
    </xf>
    <xf numFmtId="0" fontId="11" fillId="48" borderId="64" xfId="0" applyFont="1" applyFill="1" applyBorder="1" applyAlignment="1">
      <alignment horizontal="center" vertical="top" wrapText="1"/>
    </xf>
    <xf numFmtId="0" fontId="11" fillId="48" borderId="42" xfId="0" applyFont="1" applyFill="1" applyBorder="1" applyAlignment="1">
      <alignment horizontal="center" vertical="top" wrapText="1"/>
    </xf>
    <xf numFmtId="2" fontId="0" fillId="48" borderId="97" xfId="0" applyNumberFormat="1" applyFill="1" applyBorder="1" applyAlignment="1">
      <alignment horizontal="right" vertical="center"/>
    </xf>
    <xf numFmtId="0" fontId="0" fillId="0" borderId="129" xfId="0" applyFill="1" applyBorder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130" xfId="0" applyFill="1" applyBorder="1" applyAlignment="1">
      <alignment horizontal="center" vertical="center"/>
    </xf>
    <xf numFmtId="43" fontId="0" fillId="48" borderId="131" xfId="0" applyNumberFormat="1" applyFill="1" applyBorder="1"/>
    <xf numFmtId="0" fontId="0" fillId="0" borderId="125" xfId="0" applyFill="1" applyBorder="1" applyAlignment="1">
      <alignment horizontal="center" vertical="center"/>
    </xf>
    <xf numFmtId="0" fontId="0" fillId="0" borderId="112" xfId="0" applyBorder="1" applyAlignment="1">
      <alignment wrapText="1"/>
    </xf>
    <xf numFmtId="0" fontId="0" fillId="0" borderId="126" xfId="0" applyFill="1" applyBorder="1" applyAlignment="1">
      <alignment horizontal="center" vertical="center"/>
    </xf>
    <xf numFmtId="43" fontId="0" fillId="48" borderId="132" xfId="0" applyNumberFormat="1" applyFill="1" applyBorder="1"/>
    <xf numFmtId="0" fontId="69" fillId="0" borderId="0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71" fillId="3" borderId="0" xfId="0" applyFont="1" applyFill="1" applyBorder="1" applyAlignment="1">
      <alignment vertical="center"/>
    </xf>
    <xf numFmtId="0" fontId="49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10" fillId="49" borderId="25" xfId="0" applyFont="1" applyFill="1" applyBorder="1" applyAlignment="1">
      <alignment horizontal="left" vertical="top" wrapText="1"/>
    </xf>
    <xf numFmtId="0" fontId="10" fillId="49" borderId="26" xfId="0" applyFont="1" applyFill="1" applyBorder="1" applyAlignment="1">
      <alignment horizontal="left" vertical="top" wrapText="1"/>
    </xf>
    <xf numFmtId="0" fontId="10" fillId="49" borderId="26" xfId="0" applyFont="1" applyFill="1" applyBorder="1" applyAlignment="1">
      <alignment horizontal="center" vertical="top" wrapText="1"/>
    </xf>
    <xf numFmtId="165" fontId="11" fillId="49" borderId="26" xfId="0" applyNumberFormat="1" applyFont="1" applyFill="1" applyBorder="1" applyAlignment="1">
      <alignment horizontal="right" vertical="top" wrapText="1"/>
    </xf>
    <xf numFmtId="4" fontId="11" fillId="49" borderId="26" xfId="0" applyNumberFormat="1" applyFont="1" applyFill="1" applyBorder="1" applyAlignment="1">
      <alignment horizontal="right" vertical="top" wrapText="1"/>
    </xf>
    <xf numFmtId="4" fontId="11" fillId="49" borderId="27" xfId="0" applyNumberFormat="1" applyFont="1" applyFill="1" applyBorder="1" applyAlignment="1">
      <alignment horizontal="right" vertical="top" wrapText="1"/>
    </xf>
    <xf numFmtId="0" fontId="11" fillId="49" borderId="25" xfId="0" applyFont="1" applyFill="1" applyBorder="1" applyAlignment="1">
      <alignment horizontal="right" vertical="top" wrapText="1"/>
    </xf>
    <xf numFmtId="0" fontId="11" fillId="49" borderId="26" xfId="0" applyFont="1" applyFill="1" applyBorder="1" applyAlignment="1">
      <alignment horizontal="left" vertical="top" wrapText="1"/>
    </xf>
    <xf numFmtId="0" fontId="11" fillId="49" borderId="26" xfId="0" applyFont="1" applyFill="1" applyBorder="1" applyAlignment="1">
      <alignment horizontal="center" vertical="top" wrapText="1"/>
    </xf>
    <xf numFmtId="4" fontId="11" fillId="49" borderId="64" xfId="0" applyNumberFormat="1" applyFont="1" applyFill="1" applyBorder="1" applyAlignment="1">
      <alignment horizontal="right" vertical="top" wrapText="1"/>
    </xf>
    <xf numFmtId="4" fontId="11" fillId="49" borderId="65" xfId="0" applyNumberFormat="1" applyFont="1" applyFill="1" applyBorder="1" applyAlignment="1">
      <alignment horizontal="right" vertical="top" wrapText="1"/>
    </xf>
    <xf numFmtId="0" fontId="3" fillId="0" borderId="8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4" borderId="0" xfId="0" applyFont="1" applyFill="1"/>
    <xf numFmtId="0" fontId="72" fillId="0" borderId="0" xfId="0" applyFont="1"/>
    <xf numFmtId="2" fontId="73" fillId="0" borderId="0" xfId="0" applyNumberFormat="1" applyFont="1"/>
    <xf numFmtId="2" fontId="0" fillId="0" borderId="0" xfId="0" applyNumberFormat="1"/>
    <xf numFmtId="0" fontId="3" fillId="0" borderId="0" xfId="0" applyFont="1" applyAlignment="1">
      <alignment horizontal="center"/>
    </xf>
    <xf numFmtId="0" fontId="3" fillId="0" borderId="133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 wrapText="1"/>
    </xf>
    <xf numFmtId="0" fontId="5" fillId="11" borderId="12" xfId="0" applyFont="1" applyFill="1" applyBorder="1" applyAlignment="1">
      <alignment horizontal="left" vertical="center" wrapText="1"/>
    </xf>
    <xf numFmtId="0" fontId="5" fillId="11" borderId="13" xfId="0" applyFont="1" applyFill="1" applyBorder="1" applyAlignment="1">
      <alignment horizontal="left" vertical="center" wrapText="1"/>
    </xf>
    <xf numFmtId="0" fontId="5" fillId="11" borderId="17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2" fontId="4" fillId="0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/>
    <xf numFmtId="0" fontId="3" fillId="0" borderId="15" xfId="0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horizontal="left" vertical="center" wrapText="1"/>
    </xf>
    <xf numFmtId="0" fontId="4" fillId="0" borderId="85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left" vertical="center" wrapText="1"/>
    </xf>
    <xf numFmtId="0" fontId="5" fillId="11" borderId="0" xfId="0" applyFont="1" applyFill="1" applyBorder="1" applyAlignment="1">
      <alignment horizontal="left" vertical="center" wrapText="1"/>
    </xf>
    <xf numFmtId="0" fontId="5" fillId="11" borderId="2" xfId="0" applyFont="1" applyFill="1" applyBorder="1" applyAlignment="1">
      <alignment horizontal="left" vertical="center" wrapText="1"/>
    </xf>
    <xf numFmtId="0" fontId="3" fillId="0" borderId="8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36" xfId="0" applyFont="1" applyFill="1" applyBorder="1" applyAlignment="1">
      <alignment vertical="center" wrapText="1"/>
    </xf>
    <xf numFmtId="0" fontId="3" fillId="0" borderId="140" xfId="0" applyFont="1" applyFill="1" applyBorder="1" applyAlignment="1">
      <alignment vertical="center" wrapText="1"/>
    </xf>
    <xf numFmtId="0" fontId="3" fillId="0" borderId="8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45" xfId="0" applyNumberFormat="1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vertical="center" wrapText="1"/>
    </xf>
    <xf numFmtId="0" fontId="3" fillId="0" borderId="14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3" fillId="0" borderId="148" xfId="0" applyFont="1" applyFill="1" applyBorder="1" applyAlignment="1">
      <alignment horizontal="left" vertical="center" wrapText="1"/>
    </xf>
    <xf numFmtId="0" fontId="3" fillId="0" borderId="146" xfId="0" applyFont="1" applyFill="1" applyBorder="1" applyAlignment="1">
      <alignment horizontal="left" vertical="center" wrapText="1"/>
    </xf>
    <xf numFmtId="0" fontId="3" fillId="0" borderId="147" xfId="0" applyFont="1" applyFill="1" applyBorder="1" applyAlignment="1">
      <alignment horizontal="left" vertical="center" wrapText="1"/>
    </xf>
    <xf numFmtId="0" fontId="49" fillId="0" borderId="5" xfId="0" applyFont="1" applyFill="1" applyBorder="1" applyAlignment="1">
      <alignment vertical="center" wrapText="1"/>
    </xf>
    <xf numFmtId="2" fontId="4" fillId="0" borderId="78" xfId="0" applyNumberFormat="1" applyFont="1" applyFill="1" applyBorder="1" applyAlignment="1">
      <alignment horizontal="center" vertical="center"/>
    </xf>
    <xf numFmtId="0" fontId="48" fillId="0" borderId="11" xfId="0" applyNumberFormat="1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vertical="center" wrapText="1"/>
    </xf>
    <xf numFmtId="2" fontId="9" fillId="0" borderId="15" xfId="0" applyNumberFormat="1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left" vertical="center" wrapText="1"/>
    </xf>
    <xf numFmtId="0" fontId="5" fillId="8" borderId="13" xfId="0" applyFont="1" applyFill="1" applyBorder="1" applyAlignment="1">
      <alignment horizontal="left" vertical="center" wrapText="1"/>
    </xf>
    <xf numFmtId="0" fontId="4" fillId="8" borderId="80" xfId="0" applyNumberFormat="1" applyFont="1" applyFill="1" applyBorder="1" applyAlignment="1">
      <alignment horizontal="center" vertical="center" wrapText="1"/>
    </xf>
    <xf numFmtId="0" fontId="5" fillId="8" borderId="83" xfId="0" applyFont="1" applyFill="1" applyBorder="1" applyAlignment="1">
      <alignment horizontal="left" vertical="center" wrapText="1"/>
    </xf>
    <xf numFmtId="0" fontId="5" fillId="8" borderId="5" xfId="0" applyFont="1" applyFill="1" applyBorder="1" applyAlignment="1">
      <alignment horizontal="left" vertical="center" wrapText="1"/>
    </xf>
    <xf numFmtId="0" fontId="5" fillId="8" borderId="85" xfId="0" applyFont="1" applyFill="1" applyBorder="1" applyAlignment="1">
      <alignment horizontal="left" vertical="center" wrapText="1"/>
    </xf>
    <xf numFmtId="0" fontId="4" fillId="0" borderId="8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2" fontId="3" fillId="0" borderId="80" xfId="0" applyNumberFormat="1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3" fillId="0" borderId="80" xfId="0" applyNumberFormat="1" applyFont="1" applyFill="1" applyBorder="1" applyAlignment="1">
      <alignment horizontal="center" vertical="center" wrapText="1"/>
    </xf>
    <xf numFmtId="0" fontId="49" fillId="0" borderId="83" xfId="0" applyFont="1" applyFill="1" applyBorder="1" applyAlignment="1">
      <alignment horizontal="left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78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2" fontId="3" fillId="0" borderId="80" xfId="0" applyNumberFormat="1" applyFont="1" applyFill="1" applyBorder="1" applyAlignment="1">
      <alignment horizontal="center" vertical="center" wrapText="1"/>
    </xf>
    <xf numFmtId="0" fontId="49" fillId="0" borderId="9" xfId="0" applyFont="1" applyFill="1" applyBorder="1" applyAlignment="1">
      <alignment horizontal="left" vertical="center" wrapText="1"/>
    </xf>
    <xf numFmtId="0" fontId="3" fillId="0" borderId="79" xfId="0" applyNumberFormat="1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48" fillId="0" borderId="5" xfId="0" applyFont="1" applyFill="1" applyBorder="1" applyAlignment="1">
      <alignment horizontal="left" vertical="center" wrapText="1"/>
    </xf>
    <xf numFmtId="0" fontId="48" fillId="0" borderId="15" xfId="0" applyFont="1" applyFill="1" applyBorder="1" applyAlignment="1">
      <alignment vertical="center" wrapText="1"/>
    </xf>
    <xf numFmtId="0" fontId="48" fillId="0" borderId="6" xfId="0" applyFont="1" applyFill="1" applyBorder="1" applyAlignment="1">
      <alignment vertical="center" wrapText="1"/>
    </xf>
    <xf numFmtId="1" fontId="3" fillId="0" borderId="80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2" fontId="3" fillId="0" borderId="80" xfId="0" applyNumberFormat="1" applyFont="1" applyFill="1" applyBorder="1" applyAlignment="1">
      <alignment horizontal="center" vertical="center" wrapText="1"/>
    </xf>
    <xf numFmtId="0" fontId="49" fillId="0" borderId="83" xfId="0" applyFont="1" applyFill="1" applyBorder="1" applyAlignment="1">
      <alignment horizontal="left" vertical="center" wrapText="1"/>
    </xf>
    <xf numFmtId="0" fontId="49" fillId="0" borderId="9" xfId="0" applyFont="1" applyFill="1" applyBorder="1" applyAlignment="1">
      <alignment horizontal="left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0" fillId="0" borderId="94" xfId="0" applyFont="1" applyFill="1" applyBorder="1" applyAlignment="1">
      <alignment horizontal="center" vertical="center"/>
    </xf>
    <xf numFmtId="0" fontId="74" fillId="0" borderId="0" xfId="0" applyFont="1" applyFill="1" applyAlignment="1">
      <alignment wrapText="1"/>
    </xf>
    <xf numFmtId="0" fontId="0" fillId="0" borderId="0" xfId="0" applyFill="1"/>
    <xf numFmtId="0" fontId="0" fillId="0" borderId="0" xfId="0" applyAlignment="1">
      <alignment horizontal="center"/>
    </xf>
    <xf numFmtId="0" fontId="72" fillId="0" borderId="0" xfId="0" applyFont="1" applyFill="1"/>
    <xf numFmtId="2" fontId="72" fillId="0" borderId="0" xfId="0" applyNumberFormat="1" applyFont="1"/>
    <xf numFmtId="0" fontId="0" fillId="0" borderId="28" xfId="0" applyBorder="1"/>
    <xf numFmtId="0" fontId="77" fillId="0" borderId="28" xfId="0" applyFont="1" applyBorder="1"/>
    <xf numFmtId="2" fontId="78" fillId="0" borderId="28" xfId="0" applyNumberFormat="1" applyFont="1" applyBorder="1"/>
    <xf numFmtId="2" fontId="77" fillId="0" borderId="28" xfId="0" applyNumberFormat="1" applyFont="1" applyBorder="1"/>
    <xf numFmtId="2" fontId="72" fillId="0" borderId="28" xfId="0" applyNumberFormat="1" applyFont="1" applyBorder="1"/>
    <xf numFmtId="0" fontId="3" fillId="0" borderId="15" xfId="0" applyFont="1" applyFill="1" applyBorder="1" applyAlignment="1">
      <alignment vertical="center" wrapText="1"/>
    </xf>
    <xf numFmtId="2" fontId="72" fillId="50" borderId="28" xfId="0" applyNumberFormat="1" applyFont="1" applyFill="1" applyBorder="1"/>
    <xf numFmtId="0" fontId="0" fillId="50" borderId="28" xfId="0" applyFill="1" applyBorder="1"/>
    <xf numFmtId="2" fontId="72" fillId="51" borderId="28" xfId="0" applyNumberFormat="1" applyFont="1" applyFill="1" applyBorder="1"/>
    <xf numFmtId="0" fontId="0" fillId="51" borderId="28" xfId="0" applyFill="1" applyBorder="1"/>
    <xf numFmtId="0" fontId="4" fillId="11" borderId="8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 wrapText="1"/>
    </xf>
    <xf numFmtId="0" fontId="49" fillId="0" borderId="83" xfId="0" applyFont="1" applyFill="1" applyBorder="1" applyAlignment="1">
      <alignment horizontal="left" vertical="center" wrapText="1"/>
    </xf>
    <xf numFmtId="0" fontId="3" fillId="0" borderId="79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9" fillId="0" borderId="101" xfId="0" applyFont="1" applyFill="1" applyBorder="1" applyAlignment="1">
      <alignment horizontal="left" vertical="center" wrapText="1"/>
    </xf>
    <xf numFmtId="0" fontId="5" fillId="0" borderId="10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15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0" fontId="4" fillId="0" borderId="154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left" vertical="center" wrapText="1"/>
    </xf>
    <xf numFmtId="0" fontId="3" fillId="0" borderId="79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2" fontId="3" fillId="0" borderId="80" xfId="0" applyNumberFormat="1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left" vertical="center" wrapText="1"/>
    </xf>
    <xf numFmtId="0" fontId="5" fillId="8" borderId="13" xfId="0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49" fillId="0" borderId="83" xfId="0" applyFont="1" applyFill="1" applyBorder="1" applyAlignment="1">
      <alignment horizontal="left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3" fillId="0" borderId="80" xfId="0" applyNumberFormat="1" applyFont="1" applyFill="1" applyBorder="1" applyAlignment="1">
      <alignment horizontal="center" vertical="center" wrapText="1"/>
    </xf>
    <xf numFmtId="0" fontId="3" fillId="0" borderId="79" xfId="0" applyNumberFormat="1" applyFont="1" applyFill="1" applyBorder="1" applyAlignment="1">
      <alignment horizontal="center" vertical="center" wrapText="1"/>
    </xf>
    <xf numFmtId="0" fontId="7" fillId="0" borderId="0" xfId="50" applyFont="1" applyAlignment="1">
      <alignment horizontal="center" vertical="center"/>
    </xf>
    <xf numFmtId="0" fontId="49" fillId="0" borderId="82" xfId="0" applyFont="1" applyFill="1" applyBorder="1" applyAlignment="1">
      <alignment horizontal="left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Border="1"/>
    <xf numFmtId="0" fontId="48" fillId="0" borderId="78" xfId="0" applyFont="1" applyFill="1" applyBorder="1" applyAlignment="1">
      <alignment vertical="center" wrapText="1"/>
    </xf>
    <xf numFmtId="0" fontId="5" fillId="8" borderId="84" xfId="0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left" vertical="center" wrapText="1"/>
    </xf>
    <xf numFmtId="0" fontId="5" fillId="8" borderId="2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6" fillId="0" borderId="0" xfId="50"/>
    <xf numFmtId="0" fontId="2" fillId="3" borderId="0" xfId="58" applyFont="1" applyFill="1" applyAlignment="1">
      <alignment vertical="center"/>
    </xf>
    <xf numFmtId="0" fontId="13" fillId="0" borderId="0" xfId="58" applyFont="1" applyAlignment="1">
      <alignment horizontal="left" vertical="center"/>
    </xf>
    <xf numFmtId="0" fontId="15" fillId="0" borderId="0" xfId="58" applyFont="1" applyAlignment="1">
      <alignment horizontal="left" vertical="center"/>
    </xf>
    <xf numFmtId="0" fontId="16" fillId="0" borderId="0" xfId="58" applyFont="1" applyAlignment="1">
      <alignment horizontal="left" vertical="center"/>
    </xf>
    <xf numFmtId="0" fontId="6" fillId="0" borderId="0" xfId="50" applyAlignment="1">
      <alignment horizontal="center" vertical="center"/>
    </xf>
    <xf numFmtId="2" fontId="1" fillId="0" borderId="0" xfId="58" applyNumberFormat="1" applyFont="1" applyAlignment="1">
      <alignment vertical="center" wrapText="1"/>
    </xf>
    <xf numFmtId="0" fontId="18" fillId="2" borderId="0" xfId="50" applyFont="1" applyFill="1" applyAlignment="1">
      <alignment vertical="center"/>
    </xf>
    <xf numFmtId="0" fontId="6" fillId="2" borderId="0" xfId="50" applyFill="1"/>
    <xf numFmtId="2" fontId="1" fillId="0" borderId="0" xfId="58" applyNumberFormat="1" applyFont="1" applyAlignment="1">
      <alignment horizontal="left" vertical="center" wrapText="1"/>
    </xf>
    <xf numFmtId="0" fontId="79" fillId="0" borderId="0" xfId="58"/>
    <xf numFmtId="0" fontId="20" fillId="0" borderId="0" xfId="58" applyFont="1"/>
    <xf numFmtId="0" fontId="19" fillId="7" borderId="30" xfId="58" applyFont="1" applyFill="1" applyBorder="1" applyAlignment="1">
      <alignment horizontal="center" vertical="center"/>
    </xf>
    <xf numFmtId="0" fontId="19" fillId="7" borderId="31" xfId="58" applyFont="1" applyFill="1" applyBorder="1" applyAlignment="1">
      <alignment horizontal="center" vertical="center"/>
    </xf>
    <xf numFmtId="0" fontId="19" fillId="7" borderId="32" xfId="58" applyFont="1" applyFill="1" applyBorder="1" applyAlignment="1">
      <alignment horizontal="center" vertical="center"/>
    </xf>
    <xf numFmtId="0" fontId="20" fillId="0" borderId="0" xfId="58" applyFont="1" applyFill="1" applyBorder="1"/>
    <xf numFmtId="0" fontId="20" fillId="0" borderId="33" xfId="58" applyFont="1" applyBorder="1" applyAlignment="1">
      <alignment vertical="center"/>
    </xf>
    <xf numFmtId="0" fontId="20" fillId="0" borderId="34" xfId="58" applyFont="1" applyBorder="1" applyAlignment="1">
      <alignment horizontal="center" vertical="center"/>
    </xf>
    <xf numFmtId="43" fontId="20" fillId="2" borderId="35" xfId="58" applyNumberFormat="1" applyFont="1" applyFill="1" applyBorder="1" applyAlignment="1">
      <alignment horizontal="center" vertical="center"/>
    </xf>
    <xf numFmtId="0" fontId="6" fillId="0" borderId="0" xfId="58" applyFont="1"/>
    <xf numFmtId="0" fontId="79" fillId="0" borderId="0" xfId="58" applyFill="1" applyBorder="1"/>
    <xf numFmtId="0" fontId="20" fillId="0" borderId="36" xfId="58" applyFont="1" applyBorder="1" applyAlignment="1">
      <alignment vertical="center"/>
    </xf>
    <xf numFmtId="0" fontId="20" fillId="2" borderId="37" xfId="58" applyFont="1" applyFill="1" applyBorder="1" applyAlignment="1">
      <alignment horizontal="center" vertical="center"/>
    </xf>
    <xf numFmtId="43" fontId="20" fillId="2" borderId="38" xfId="58" applyNumberFormat="1" applyFont="1" applyFill="1" applyBorder="1" applyAlignment="1">
      <alignment horizontal="center" vertical="center"/>
    </xf>
    <xf numFmtId="0" fontId="20" fillId="0" borderId="0" xfId="58" applyFont="1" applyFill="1" applyBorder="1" applyAlignment="1">
      <alignment vertical="center"/>
    </xf>
    <xf numFmtId="0" fontId="20" fillId="0" borderId="0" xfId="58" applyFont="1" applyFill="1" applyBorder="1" applyAlignment="1">
      <alignment horizontal="center" vertical="center"/>
    </xf>
    <xf numFmtId="43" fontId="20" fillId="0" borderId="0" xfId="58" applyNumberFormat="1" applyFont="1" applyFill="1" applyBorder="1" applyAlignment="1">
      <alignment horizontal="center" vertical="center"/>
    </xf>
    <xf numFmtId="0" fontId="79" fillId="0" borderId="0" xfId="58" applyBorder="1"/>
    <xf numFmtId="0" fontId="20" fillId="0" borderId="37" xfId="58" applyFont="1" applyBorder="1" applyAlignment="1">
      <alignment horizontal="center" vertical="center"/>
    </xf>
    <xf numFmtId="0" fontId="20" fillId="0" borderId="36" xfId="58" applyFont="1" applyBorder="1" applyAlignment="1">
      <alignment vertical="center" wrapText="1"/>
    </xf>
    <xf numFmtId="43" fontId="20" fillId="2" borderId="38" xfId="58" applyNumberFormat="1" applyFont="1" applyFill="1" applyBorder="1" applyAlignment="1">
      <alignment vertical="center"/>
    </xf>
    <xf numFmtId="0" fontId="20" fillId="0" borderId="157" xfId="58" applyFont="1" applyBorder="1" applyAlignment="1">
      <alignment vertical="center"/>
    </xf>
    <xf numFmtId="0" fontId="20" fillId="0" borderId="158" xfId="58" applyFont="1" applyBorder="1" applyAlignment="1">
      <alignment horizontal="center" vertical="center"/>
    </xf>
    <xf numFmtId="43" fontId="20" fillId="0" borderId="159" xfId="58" applyNumberFormat="1" applyFont="1" applyBorder="1" applyAlignment="1">
      <alignment vertical="center"/>
    </xf>
    <xf numFmtId="43" fontId="20" fillId="0" borderId="38" xfId="58" applyNumberFormat="1" applyFont="1" applyBorder="1" applyAlignment="1">
      <alignment vertical="center"/>
    </xf>
    <xf numFmtId="0" fontId="20" fillId="0" borderId="160" xfId="58" applyFont="1" applyFill="1" applyBorder="1" applyAlignment="1">
      <alignment vertical="center"/>
    </xf>
    <xf numFmtId="0" fontId="20" fillId="0" borderId="161" xfId="58" applyFont="1" applyFill="1" applyBorder="1" applyAlignment="1">
      <alignment horizontal="center" vertical="center"/>
    </xf>
    <xf numFmtId="0" fontId="20" fillId="0" borderId="162" xfId="58" applyFont="1" applyBorder="1"/>
    <xf numFmtId="0" fontId="79" fillId="0" borderId="1" xfId="58" applyBorder="1"/>
    <xf numFmtId="0" fontId="79" fillId="0" borderId="163" xfId="58" applyBorder="1"/>
    <xf numFmtId="0" fontId="21" fillId="0" borderId="0" xfId="50" applyFont="1"/>
    <xf numFmtId="0" fontId="21" fillId="0" borderId="44" xfId="50" applyFont="1" applyBorder="1" applyAlignment="1">
      <alignment horizontal="center"/>
    </xf>
    <xf numFmtId="0" fontId="21" fillId="0" borderId="45" xfId="50" applyFont="1" applyBorder="1" applyAlignment="1">
      <alignment horizontal="center"/>
    </xf>
    <xf numFmtId="0" fontId="21" fillId="0" borderId="0" xfId="50" applyFont="1" applyAlignment="1">
      <alignment horizontal="center"/>
    </xf>
    <xf numFmtId="0" fontId="21" fillId="0" borderId="43" xfId="50" applyFont="1" applyBorder="1" applyAlignment="1">
      <alignment horizontal="center"/>
    </xf>
    <xf numFmtId="0" fontId="22" fillId="3" borderId="46" xfId="50" applyFont="1" applyFill="1" applyBorder="1"/>
    <xf numFmtId="0" fontId="21" fillId="0" borderId="47" xfId="50" applyFont="1" applyBorder="1"/>
    <xf numFmtId="0" fontId="21" fillId="0" borderId="44" xfId="50" applyFont="1" applyBorder="1"/>
    <xf numFmtId="0" fontId="21" fillId="0" borderId="45" xfId="50" applyFont="1" applyBorder="1"/>
    <xf numFmtId="0" fontId="13" fillId="0" borderId="0" xfId="50" applyFont="1" applyAlignment="1">
      <alignment horizontal="left" vertical="center"/>
    </xf>
    <xf numFmtId="0" fontId="15" fillId="0" borderId="0" xfId="50" applyFont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2" fillId="3" borderId="46" xfId="50" applyFont="1" applyFill="1" applyBorder="1" applyAlignment="1">
      <alignment vertical="center"/>
    </xf>
    <xf numFmtId="0" fontId="2" fillId="3" borderId="47" xfId="50" applyFont="1" applyFill="1" applyBorder="1" applyAlignment="1">
      <alignment vertical="center"/>
    </xf>
    <xf numFmtId="0" fontId="22" fillId="0" borderId="0" xfId="50" applyFont="1"/>
    <xf numFmtId="0" fontId="3" fillId="0" borderId="0" xfId="50" applyFont="1"/>
    <xf numFmtId="0" fontId="20" fillId="0" borderId="0" xfId="50" applyFont="1"/>
    <xf numFmtId="0" fontId="19" fillId="52" borderId="28" xfId="50" applyFont="1" applyFill="1" applyBorder="1" applyAlignment="1">
      <alignment vertical="center"/>
    </xf>
    <xf numFmtId="0" fontId="19" fillId="52" borderId="28" xfId="50" applyFont="1" applyFill="1" applyBorder="1" applyAlignment="1">
      <alignment horizontal="center" vertical="center"/>
    </xf>
    <xf numFmtId="0" fontId="20" fillId="0" borderId="28" xfId="50" applyFont="1" applyBorder="1" applyAlignment="1">
      <alignment vertical="center"/>
    </xf>
    <xf numFmtId="0" fontId="20" fillId="0" borderId="28" xfId="50" applyFont="1" applyBorder="1" applyAlignment="1">
      <alignment horizontal="center" vertical="center"/>
    </xf>
    <xf numFmtId="2" fontId="19" fillId="4" borderId="28" xfId="50" applyNumberFormat="1" applyFont="1" applyFill="1" applyBorder="1" applyAlignment="1">
      <alignment horizontal="center" vertical="center"/>
    </xf>
    <xf numFmtId="0" fontId="20" fillId="0" borderId="28" xfId="50" applyFont="1" applyFill="1" applyBorder="1" applyAlignment="1">
      <alignment vertical="center" wrapText="1"/>
    </xf>
    <xf numFmtId="0" fontId="20" fillId="0" borderId="28" xfId="50" applyFont="1" applyFill="1" applyBorder="1" applyAlignment="1">
      <alignment horizontal="center" vertical="center"/>
    </xf>
    <xf numFmtId="2" fontId="20" fillId="0" borderId="0" xfId="50" applyNumberFormat="1" applyFont="1"/>
    <xf numFmtId="0" fontId="20" fillId="0" borderId="101" xfId="50" applyFont="1" applyBorder="1" applyAlignment="1">
      <alignment vertical="center"/>
    </xf>
    <xf numFmtId="0" fontId="20" fillId="0" borderId="101" xfId="50" applyFont="1" applyBorder="1" applyAlignment="1">
      <alignment horizontal="center" vertical="center"/>
    </xf>
    <xf numFmtId="2" fontId="19" fillId="4" borderId="101" xfId="50" applyNumberFormat="1" applyFont="1" applyFill="1" applyBorder="1" applyAlignment="1">
      <alignment horizontal="center" vertical="center"/>
    </xf>
    <xf numFmtId="0" fontId="20" fillId="0" borderId="28" xfId="50" applyFont="1" applyFill="1" applyBorder="1" applyAlignment="1" applyProtection="1">
      <alignment vertical="center"/>
      <protection locked="0"/>
    </xf>
    <xf numFmtId="2" fontId="19" fillId="4" borderId="28" xfId="50" applyNumberFormat="1" applyFont="1" applyFill="1" applyBorder="1" applyAlignment="1" applyProtection="1">
      <alignment horizontal="center" vertical="center"/>
      <protection locked="0"/>
    </xf>
    <xf numFmtId="0" fontId="3" fillId="4" borderId="11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2" fontId="5" fillId="4" borderId="15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vertical="center" wrapText="1"/>
    </xf>
    <xf numFmtId="0" fontId="5" fillId="11" borderId="13" xfId="0" applyFont="1" applyFill="1" applyBorder="1" applyAlignment="1">
      <alignment vertical="center" wrapText="1"/>
    </xf>
    <xf numFmtId="0" fontId="5" fillId="11" borderId="17" xfId="0" applyFont="1" applyFill="1" applyBorder="1" applyAlignment="1">
      <alignment vertical="center" wrapText="1"/>
    </xf>
    <xf numFmtId="2" fontId="9" fillId="4" borderId="15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 wrapText="1"/>
    </xf>
    <xf numFmtId="2" fontId="9" fillId="4" borderId="15" xfId="0" applyNumberFormat="1" applyFont="1" applyFill="1" applyBorder="1" applyAlignment="1">
      <alignment horizontal="center" vertical="center" wrapText="1"/>
    </xf>
    <xf numFmtId="2" fontId="3" fillId="4" borderId="164" xfId="0" applyNumberFormat="1" applyFont="1" applyFill="1" applyBorder="1" applyAlignment="1">
      <alignment horizontal="left" vertical="center" wrapText="1"/>
    </xf>
    <xf numFmtId="2" fontId="4" fillId="11" borderId="11" xfId="0" applyNumberFormat="1" applyFont="1" applyFill="1" applyBorder="1" applyAlignment="1">
      <alignment horizontal="center" vertical="center" wrapText="1"/>
    </xf>
    <xf numFmtId="2" fontId="9" fillId="4" borderId="78" xfId="0" applyNumberFormat="1" applyFont="1" applyFill="1" applyBorder="1" applyAlignment="1">
      <alignment horizontal="center" vertical="center"/>
    </xf>
    <xf numFmtId="0" fontId="3" fillId="4" borderId="83" xfId="0" applyFont="1" applyFill="1" applyBorder="1" applyAlignment="1">
      <alignment horizontal="left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4" borderId="15" xfId="0" applyNumberFormat="1" applyFont="1" applyFill="1" applyBorder="1" applyAlignment="1">
      <alignment horizontal="center" vertical="center" wrapText="1"/>
    </xf>
    <xf numFmtId="0" fontId="3" fillId="4" borderId="79" xfId="0" applyNumberFormat="1" applyFont="1" applyFill="1" applyBorder="1" applyAlignment="1">
      <alignment horizontal="center" vertical="center" wrapText="1"/>
    </xf>
    <xf numFmtId="2" fontId="3" fillId="4" borderId="9" xfId="0" applyNumberFormat="1" applyFont="1" applyFill="1" applyBorder="1" applyAlignment="1">
      <alignment horizontal="left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14" fontId="3" fillId="2" borderId="0" xfId="0" applyNumberFormat="1" applyFont="1" applyFill="1"/>
    <xf numFmtId="0" fontId="3" fillId="53" borderId="0" xfId="0" applyFont="1" applyFill="1" applyAlignment="1">
      <alignment horizontal="center" vertical="center" wrapText="1"/>
    </xf>
    <xf numFmtId="0" fontId="3" fillId="53" borderId="0" xfId="0" applyFont="1" applyFill="1"/>
    <xf numFmtId="2" fontId="5" fillId="4" borderId="165" xfId="0" applyNumberFormat="1" applyFont="1" applyFill="1" applyBorder="1" applyAlignment="1">
      <alignment horizontal="center" vertical="center" wrapText="1"/>
    </xf>
    <xf numFmtId="0" fontId="81" fillId="0" borderId="0" xfId="0" applyFont="1"/>
    <xf numFmtId="0" fontId="82" fillId="54" borderId="166" xfId="0" applyNumberFormat="1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vertical="center"/>
    </xf>
    <xf numFmtId="0" fontId="0" fillId="0" borderId="0" xfId="0" applyFont="1" applyAlignment="1"/>
    <xf numFmtId="0" fontId="81" fillId="4" borderId="166" xfId="0" applyFont="1" applyFill="1" applyBorder="1" applyAlignment="1">
      <alignment horizontal="center" vertical="center" wrapText="1"/>
    </xf>
    <xf numFmtId="0" fontId="81" fillId="4" borderId="170" xfId="0" applyFont="1" applyFill="1" applyBorder="1" applyAlignment="1">
      <alignment horizontal="left" vertical="center" wrapText="1"/>
    </xf>
    <xf numFmtId="2" fontId="82" fillId="4" borderId="171" xfId="0" applyNumberFormat="1" applyFont="1" applyFill="1" applyBorder="1" applyAlignment="1">
      <alignment horizontal="center" vertical="center" wrapText="1"/>
    </xf>
    <xf numFmtId="0" fontId="82" fillId="4" borderId="172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left" vertical="center"/>
    </xf>
    <xf numFmtId="0" fontId="81" fillId="0" borderId="0" xfId="0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 wrapText="1"/>
    </xf>
    <xf numFmtId="0" fontId="3" fillId="4" borderId="80" xfId="0" applyNumberFormat="1" applyFont="1" applyFill="1" applyBorder="1" applyAlignment="1">
      <alignment horizontal="center" vertical="center" wrapText="1"/>
    </xf>
    <xf numFmtId="1" fontId="3" fillId="4" borderId="8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142" xfId="0" applyFont="1" applyFill="1" applyBorder="1" applyAlignment="1">
      <alignment horizontal="center" vertical="center" wrapText="1"/>
    </xf>
    <xf numFmtId="0" fontId="4" fillId="55" borderId="17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4" fillId="4" borderId="175" xfId="0" applyFont="1" applyFill="1" applyBorder="1" applyAlignment="1">
      <alignment horizontal="center" vertical="center"/>
    </xf>
    <xf numFmtId="10" fontId="5" fillId="56" borderId="175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0" fontId="5" fillId="13" borderId="0" xfId="0" applyNumberFormat="1" applyFont="1" applyFill="1" applyBorder="1" applyAlignment="1">
      <alignment horizontal="center" vertical="center"/>
    </xf>
    <xf numFmtId="10" fontId="5" fillId="57" borderId="0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2" fontId="4" fillId="0" borderId="18" xfId="0" applyNumberFormat="1" applyFont="1" applyBorder="1" applyAlignment="1">
      <alignment horizontal="center" vertical="center"/>
    </xf>
    <xf numFmtId="10" fontId="5" fillId="49" borderId="18" xfId="0" applyNumberFormat="1" applyFont="1" applyFill="1" applyBorder="1" applyAlignment="1">
      <alignment horizontal="center" vertical="center"/>
    </xf>
    <xf numFmtId="0" fontId="81" fillId="4" borderId="178" xfId="0" applyFont="1" applyFill="1" applyBorder="1" applyAlignment="1">
      <alignment horizontal="center" vertical="center"/>
    </xf>
    <xf numFmtId="0" fontId="85" fillId="4" borderId="179" xfId="0" applyFont="1" applyFill="1" applyBorder="1" applyAlignment="1">
      <alignment horizontal="center" vertical="center" wrapText="1"/>
    </xf>
    <xf numFmtId="0" fontId="84" fillId="4" borderId="180" xfId="0" applyFont="1" applyFill="1" applyBorder="1" applyAlignment="1">
      <alignment horizontal="center" vertical="center" wrapText="1"/>
    </xf>
    <xf numFmtId="0" fontId="3" fillId="4" borderId="178" xfId="0" applyFont="1" applyFill="1" applyBorder="1" applyAlignment="1">
      <alignment horizontal="center" vertical="center"/>
    </xf>
    <xf numFmtId="0" fontId="84" fillId="4" borderId="179" xfId="0" applyFont="1" applyFill="1" applyBorder="1" applyAlignment="1">
      <alignment horizontal="center" vertical="center" wrapText="1"/>
    </xf>
    <xf numFmtId="0" fontId="3" fillId="0" borderId="188" xfId="0" applyFont="1" applyFill="1" applyBorder="1" applyAlignment="1">
      <alignment horizontal="center" vertical="center" wrapText="1"/>
    </xf>
    <xf numFmtId="0" fontId="49" fillId="0" borderId="164" xfId="0" applyFont="1" applyFill="1" applyBorder="1" applyAlignment="1">
      <alignment horizontal="left" vertical="center" wrapText="1"/>
    </xf>
    <xf numFmtId="2" fontId="5" fillId="0" borderId="165" xfId="0" applyNumberFormat="1" applyFont="1" applyFill="1" applyBorder="1" applyAlignment="1">
      <alignment horizontal="center" vertical="center" wrapText="1"/>
    </xf>
    <xf numFmtId="0" fontId="5" fillId="0" borderId="18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3" fillId="54" borderId="167" xfId="0" applyFont="1" applyFill="1" applyBorder="1" applyAlignment="1">
      <alignment vertical="center" wrapText="1"/>
    </xf>
    <xf numFmtId="0" fontId="84" fillId="0" borderId="168" xfId="0" applyFont="1" applyBorder="1" applyAlignment="1"/>
    <xf numFmtId="0" fontId="84" fillId="0" borderId="169" xfId="0" applyFont="1" applyBorder="1" applyAlignment="1"/>
    <xf numFmtId="0" fontId="5" fillId="8" borderId="14" xfId="0" applyFont="1" applyFill="1" applyBorder="1" applyAlignment="1">
      <alignment vertical="center" wrapText="1"/>
    </xf>
    <xf numFmtId="0" fontId="5" fillId="8" borderId="15" xfId="0" applyFont="1" applyFill="1" applyBorder="1" applyAlignment="1">
      <alignment vertical="center" wrapText="1"/>
    </xf>
    <xf numFmtId="0" fontId="5" fillId="8" borderId="16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vertical="center" wrapText="1"/>
    </xf>
    <xf numFmtId="0" fontId="5" fillId="8" borderId="13" xfId="0" applyFont="1" applyFill="1" applyBorder="1" applyAlignment="1">
      <alignment vertical="center" wrapText="1"/>
    </xf>
    <xf numFmtId="0" fontId="5" fillId="8" borderId="17" xfId="0" applyFont="1" applyFill="1" applyBorder="1" applyAlignment="1">
      <alignment vertical="center" wrapText="1"/>
    </xf>
    <xf numFmtId="0" fontId="5" fillId="11" borderId="13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2" fontId="4" fillId="4" borderId="78" xfId="0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 wrapText="1"/>
    </xf>
    <xf numFmtId="2" fontId="3" fillId="4" borderId="80" xfId="0" applyNumberFormat="1" applyFont="1" applyFill="1" applyBorder="1" applyAlignment="1">
      <alignment horizontal="center" vertical="center" wrapText="1"/>
    </xf>
    <xf numFmtId="0" fontId="3" fillId="0" borderId="79" xfId="0" applyNumberFormat="1" applyFont="1" applyFill="1" applyBorder="1" applyAlignment="1">
      <alignment horizontal="center" vertical="center" wrapText="1"/>
    </xf>
    <xf numFmtId="2" fontId="3" fillId="4" borderId="101" xfId="0" applyNumberFormat="1" applyFont="1" applyFill="1" applyBorder="1" applyAlignment="1">
      <alignment horizontal="center" vertical="center" wrapText="1"/>
    </xf>
    <xf numFmtId="2" fontId="5" fillId="4" borderId="101" xfId="0" applyNumberFormat="1" applyFont="1" applyFill="1" applyBorder="1" applyAlignment="1">
      <alignment horizontal="center" vertical="center" wrapText="1"/>
    </xf>
    <xf numFmtId="2" fontId="3" fillId="4" borderId="15" xfId="0" applyNumberFormat="1" applyFont="1" applyFill="1" applyBorder="1" applyAlignment="1">
      <alignment horizontal="center" vertical="center" wrapText="1"/>
    </xf>
    <xf numFmtId="0" fontId="51" fillId="0" borderId="28" xfId="0" applyFont="1" applyBorder="1" applyAlignment="1">
      <alignment horizontal="center" vertical="center"/>
    </xf>
    <xf numFmtId="0" fontId="11" fillId="8" borderId="106" xfId="0" applyFont="1" applyFill="1" applyBorder="1" applyAlignment="1">
      <alignment horizontal="right" vertical="top"/>
    </xf>
    <xf numFmtId="0" fontId="11" fillId="8" borderId="100" xfId="0" applyFont="1" applyFill="1" applyBorder="1" applyAlignment="1">
      <alignment horizontal="right" vertical="top"/>
    </xf>
    <xf numFmtId="0" fontId="11" fillId="5" borderId="106" xfId="0" applyFont="1" applyFill="1" applyBorder="1" applyAlignment="1">
      <alignment horizontal="right" vertical="top"/>
    </xf>
    <xf numFmtId="0" fontId="11" fillId="5" borderId="100" xfId="0" applyFont="1" applyFill="1" applyBorder="1" applyAlignment="1">
      <alignment horizontal="right" vertical="top"/>
    </xf>
    <xf numFmtId="0" fontId="11" fillId="5" borderId="106" xfId="0" applyFont="1" applyFill="1" applyBorder="1" applyAlignment="1">
      <alignment horizontal="right" vertical="top" wrapText="1"/>
    </xf>
    <xf numFmtId="0" fontId="11" fillId="5" borderId="100" xfId="0" applyFont="1" applyFill="1" applyBorder="1" applyAlignment="1">
      <alignment horizontal="right" vertical="top" wrapText="1"/>
    </xf>
    <xf numFmtId="0" fontId="11" fillId="5" borderId="107" xfId="0" applyFont="1" applyFill="1" applyBorder="1" applyAlignment="1">
      <alignment horizontal="right" vertical="top" wrapText="1"/>
    </xf>
    <xf numFmtId="0" fontId="11" fillId="8" borderId="106" xfId="0" applyFont="1" applyFill="1" applyBorder="1" applyAlignment="1">
      <alignment horizontal="right" vertical="top" wrapText="1"/>
    </xf>
    <xf numFmtId="0" fontId="11" fillId="8" borderId="100" xfId="0" applyFont="1" applyFill="1" applyBorder="1" applyAlignment="1">
      <alignment horizontal="right" vertical="top" wrapText="1"/>
    </xf>
    <xf numFmtId="0" fontId="11" fillId="8" borderId="107" xfId="0" applyFont="1" applyFill="1" applyBorder="1" applyAlignment="1">
      <alignment horizontal="right" vertical="top" wrapText="1"/>
    </xf>
    <xf numFmtId="4" fontId="10" fillId="5" borderId="108" xfId="0" applyNumberFormat="1" applyFont="1" applyFill="1" applyBorder="1" applyAlignment="1">
      <alignment horizontal="right" vertical="top"/>
    </xf>
    <xf numFmtId="4" fontId="10" fillId="5" borderId="109" xfId="0" applyNumberFormat="1" applyFont="1" applyFill="1" applyBorder="1" applyAlignment="1">
      <alignment horizontal="right" vertical="top"/>
    </xf>
    <xf numFmtId="4" fontId="10" fillId="5" borderId="110" xfId="0" applyNumberFormat="1" applyFont="1" applyFill="1" applyBorder="1" applyAlignment="1">
      <alignment horizontal="right" vertical="top"/>
    </xf>
    <xf numFmtId="0" fontId="49" fillId="0" borderId="90" xfId="0" applyFont="1" applyFill="1" applyBorder="1" applyAlignment="1">
      <alignment horizontal="left" vertical="center" wrapText="1"/>
    </xf>
    <xf numFmtId="0" fontId="49" fillId="0" borderId="9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wrapText="1"/>
    </xf>
    <xf numFmtId="0" fontId="3" fillId="0" borderId="8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 wrapText="1"/>
    </xf>
    <xf numFmtId="0" fontId="49" fillId="0" borderId="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78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8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3" fillId="0" borderId="92" xfId="0" applyFont="1" applyBorder="1" applyAlignment="1">
      <alignment horizontal="left" wrapText="1"/>
    </xf>
    <xf numFmtId="0" fontId="3" fillId="0" borderId="90" xfId="0" applyFont="1" applyBorder="1" applyAlignment="1">
      <alignment horizontal="left" wrapText="1"/>
    </xf>
    <xf numFmtId="0" fontId="3" fillId="0" borderId="150" xfId="0" applyFont="1" applyBorder="1" applyAlignment="1">
      <alignment horizontal="left" wrapText="1"/>
    </xf>
    <xf numFmtId="0" fontId="5" fillId="11" borderId="12" xfId="0" applyFont="1" applyFill="1" applyBorder="1" applyAlignment="1">
      <alignment horizontal="left" vertical="center" wrapText="1"/>
    </xf>
    <xf numFmtId="0" fontId="5" fillId="11" borderId="13" xfId="0" applyFont="1" applyFill="1" applyBorder="1" applyAlignment="1">
      <alignment horizontal="left" vertical="center" wrapText="1"/>
    </xf>
    <xf numFmtId="0" fontId="5" fillId="11" borderId="17" xfId="0" applyFont="1" applyFill="1" applyBorder="1" applyAlignment="1">
      <alignment horizontal="left" vertical="center" wrapText="1"/>
    </xf>
    <xf numFmtId="0" fontId="49" fillId="0" borderId="10" xfId="0" applyFont="1" applyFill="1" applyBorder="1" applyAlignment="1">
      <alignment horizontal="left" vertical="center" wrapText="1"/>
    </xf>
    <xf numFmtId="0" fontId="49" fillId="0" borderId="92" xfId="0" applyFont="1" applyFill="1" applyBorder="1" applyAlignment="1">
      <alignment horizontal="left" vertical="center" wrapText="1"/>
    </xf>
    <xf numFmtId="0" fontId="49" fillId="0" borderId="12" xfId="0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50" fillId="0" borderId="149" xfId="0" applyFont="1" applyFill="1" applyBorder="1" applyAlignment="1">
      <alignment horizontal="left" vertical="center" wrapText="1"/>
    </xf>
    <xf numFmtId="0" fontId="50" fillId="0" borderId="150" xfId="0" applyFont="1" applyFill="1" applyBorder="1" applyAlignment="1">
      <alignment horizontal="left" vertical="center" wrapText="1"/>
    </xf>
    <xf numFmtId="0" fontId="50" fillId="0" borderId="15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left" vertical="center" wrapText="1"/>
    </xf>
    <xf numFmtId="0" fontId="5" fillId="8" borderId="13" xfId="0" applyFont="1" applyFill="1" applyBorder="1" applyAlignment="1">
      <alignment horizontal="left" vertical="center" wrapText="1"/>
    </xf>
    <xf numFmtId="0" fontId="5" fillId="8" borderId="17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80" xfId="0" applyNumberFormat="1" applyFont="1" applyFill="1" applyBorder="1" applyAlignment="1">
      <alignment horizontal="center" vertical="center" wrapText="1"/>
    </xf>
    <xf numFmtId="0" fontId="3" fillId="0" borderId="86" xfId="0" applyNumberFormat="1" applyFont="1" applyFill="1" applyBorder="1" applyAlignment="1">
      <alignment horizontal="center" vertical="center" wrapText="1"/>
    </xf>
    <xf numFmtId="0" fontId="3" fillId="0" borderId="79" xfId="0" applyNumberFormat="1" applyFont="1" applyFill="1" applyBorder="1" applyAlignment="1">
      <alignment horizontal="center" vertical="center" wrapText="1"/>
    </xf>
    <xf numFmtId="0" fontId="3" fillId="0" borderId="87" xfId="0" applyFont="1" applyFill="1" applyBorder="1" applyAlignment="1">
      <alignment horizontal="left" vertical="center" wrapText="1"/>
    </xf>
    <xf numFmtId="0" fontId="3" fillId="0" borderId="88" xfId="0" applyFont="1" applyFill="1" applyBorder="1" applyAlignment="1">
      <alignment horizontal="left" vertical="center" wrapText="1"/>
    </xf>
    <xf numFmtId="0" fontId="3" fillId="0" borderId="89" xfId="0" applyFont="1" applyFill="1" applyBorder="1" applyAlignment="1">
      <alignment horizontal="left" vertical="center" wrapText="1"/>
    </xf>
    <xf numFmtId="0" fontId="3" fillId="0" borderId="151" xfId="0" applyFont="1" applyFill="1" applyBorder="1" applyAlignment="1">
      <alignment horizontal="left" vertical="center" wrapText="1"/>
    </xf>
    <xf numFmtId="0" fontId="3" fillId="0" borderId="90" xfId="0" applyFont="1" applyFill="1" applyBorder="1" applyAlignment="1">
      <alignment horizontal="left" vertical="center" wrapText="1"/>
    </xf>
    <xf numFmtId="0" fontId="3" fillId="0" borderId="91" xfId="0" applyFont="1" applyFill="1" applyBorder="1" applyAlignment="1">
      <alignment horizontal="left" vertical="center" wrapText="1"/>
    </xf>
    <xf numFmtId="0" fontId="3" fillId="0" borderId="8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78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3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0" borderId="13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1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wrapText="1"/>
    </xf>
    <xf numFmtId="0" fontId="3" fillId="0" borderId="135" xfId="0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0" fontId="3" fillId="0" borderId="12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2" fontId="4" fillId="10" borderId="66" xfId="0" applyNumberFormat="1" applyFont="1" applyFill="1" applyBorder="1" applyAlignment="1">
      <alignment horizontal="center" vertical="center"/>
    </xf>
    <xf numFmtId="2" fontId="4" fillId="10" borderId="67" xfId="0" applyNumberFormat="1" applyFont="1" applyFill="1" applyBorder="1" applyAlignment="1">
      <alignment horizontal="center" vertical="center"/>
    </xf>
    <xf numFmtId="2" fontId="4" fillId="10" borderId="68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vertical="center"/>
    </xf>
    <xf numFmtId="2" fontId="3" fillId="0" borderId="80" xfId="0" applyNumberFormat="1" applyFont="1" applyFill="1" applyBorder="1" applyAlignment="1">
      <alignment horizontal="center" vertical="center" wrapText="1"/>
    </xf>
    <xf numFmtId="2" fontId="3" fillId="0" borderId="79" xfId="0" applyNumberFormat="1" applyFont="1" applyFill="1" applyBorder="1" applyAlignment="1">
      <alignment horizontal="center" vertical="center" wrapText="1"/>
    </xf>
    <xf numFmtId="0" fontId="49" fillId="0" borderId="83" xfId="0" applyFont="1" applyFill="1" applyBorder="1" applyAlignment="1">
      <alignment horizontal="left" vertical="center" wrapText="1"/>
    </xf>
    <xf numFmtId="0" fontId="49" fillId="0" borderId="9" xfId="0" applyFont="1" applyFill="1" applyBorder="1" applyAlignment="1">
      <alignment horizontal="left" vertical="center" wrapText="1"/>
    </xf>
    <xf numFmtId="0" fontId="3" fillId="0" borderId="134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144" xfId="0" applyFont="1" applyFill="1" applyBorder="1" applyAlignment="1">
      <alignment horizontal="left" vertical="center" wrapText="1"/>
    </xf>
    <xf numFmtId="0" fontId="3" fillId="0" borderId="83" xfId="0" applyFont="1" applyFill="1" applyBorder="1" applyAlignment="1">
      <alignment horizontal="center" vertical="center" wrapText="1"/>
    </xf>
    <xf numFmtId="0" fontId="3" fillId="0" borderId="139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0" fontId="3" fillId="0" borderId="134" xfId="0" applyFont="1" applyFill="1" applyBorder="1" applyAlignment="1">
      <alignment horizontal="center" vertical="center" wrapText="1"/>
    </xf>
    <xf numFmtId="0" fontId="3" fillId="0" borderId="88" xfId="0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0" fontId="3" fillId="0" borderId="135" xfId="0" applyFont="1" applyFill="1" applyBorder="1" applyAlignment="1">
      <alignment horizontal="left" vertical="center" wrapText="1"/>
    </xf>
    <xf numFmtId="0" fontId="3" fillId="0" borderId="123" xfId="0" applyFont="1" applyFill="1" applyBorder="1" applyAlignment="1">
      <alignment horizontal="left" vertical="center" wrapText="1"/>
    </xf>
    <xf numFmtId="0" fontId="3" fillId="0" borderId="124" xfId="0" applyFont="1" applyFill="1" applyBorder="1" applyAlignment="1">
      <alignment horizontal="left" vertical="center" wrapText="1"/>
    </xf>
    <xf numFmtId="0" fontId="3" fillId="0" borderId="13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3" xfId="0" applyFont="1" applyFill="1" applyBorder="1" applyAlignment="1">
      <alignment horizontal="left" vertical="center" wrapText="1"/>
    </xf>
    <xf numFmtId="0" fontId="3" fillId="0" borderId="113" xfId="0" applyFont="1" applyFill="1" applyBorder="1" applyAlignment="1">
      <alignment horizontal="center" vertical="center" wrapText="1"/>
    </xf>
    <xf numFmtId="0" fontId="3" fillId="0" borderId="14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2" fontId="3" fillId="4" borderId="80" xfId="0" applyNumberFormat="1" applyFont="1" applyFill="1" applyBorder="1" applyAlignment="1">
      <alignment horizontal="center" vertical="center" wrapText="1"/>
    </xf>
    <xf numFmtId="2" fontId="3" fillId="4" borderId="86" xfId="0" applyNumberFormat="1" applyFont="1" applyFill="1" applyBorder="1" applyAlignment="1">
      <alignment horizontal="center" vertical="center" wrapText="1"/>
    </xf>
    <xf numFmtId="2" fontId="3" fillId="4" borderId="79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2" fontId="5" fillId="4" borderId="78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0" fillId="0" borderId="151" xfId="0" applyFont="1" applyFill="1" applyBorder="1" applyAlignment="1">
      <alignment horizontal="left" vertical="center" wrapText="1"/>
    </xf>
    <xf numFmtId="0" fontId="50" fillId="0" borderId="112" xfId="0" applyFont="1" applyFill="1" applyBorder="1" applyAlignment="1">
      <alignment horizontal="left" vertical="center" wrapText="1"/>
    </xf>
    <xf numFmtId="0" fontId="50" fillId="0" borderId="113" xfId="0" applyFont="1" applyFill="1" applyBorder="1" applyAlignment="1">
      <alignment horizontal="left" vertical="center" wrapText="1"/>
    </xf>
    <xf numFmtId="0" fontId="49" fillId="0" borderId="87" xfId="0" applyFont="1" applyFill="1" applyBorder="1" applyAlignment="1">
      <alignment horizontal="left" vertical="center" wrapText="1"/>
    </xf>
    <xf numFmtId="0" fontId="49" fillId="0" borderId="88" xfId="0" applyFont="1" applyFill="1" applyBorder="1" applyAlignment="1">
      <alignment horizontal="left" vertical="center" wrapText="1"/>
    </xf>
    <xf numFmtId="0" fontId="49" fillId="0" borderId="89" xfId="0" applyFont="1" applyFill="1" applyBorder="1" applyAlignment="1">
      <alignment horizontal="left" vertical="center" wrapText="1"/>
    </xf>
    <xf numFmtId="0" fontId="4" fillId="0" borderId="8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horizontal="left" vertical="center" wrapText="1"/>
    </xf>
    <xf numFmtId="0" fontId="49" fillId="0" borderId="3" xfId="0" applyFont="1" applyFill="1" applyBorder="1" applyAlignment="1">
      <alignment horizontal="left" vertical="center" wrapText="1"/>
    </xf>
    <xf numFmtId="0" fontId="49" fillId="0" borderId="151" xfId="0" applyFont="1" applyFill="1" applyBorder="1" applyAlignment="1">
      <alignment horizontal="left" vertical="center" wrapText="1"/>
    </xf>
    <xf numFmtId="0" fontId="49" fillId="0" borderId="156" xfId="0" applyFont="1" applyFill="1" applyBorder="1" applyAlignment="1">
      <alignment horizontal="left" vertical="center" wrapText="1"/>
    </xf>
    <xf numFmtId="0" fontId="49" fillId="0" borderId="93" xfId="0" applyFont="1" applyFill="1" applyBorder="1" applyAlignment="1">
      <alignment horizontal="left" vertical="center" wrapText="1"/>
    </xf>
    <xf numFmtId="0" fontId="49" fillId="0" borderId="149" xfId="0" applyFont="1" applyFill="1" applyBorder="1" applyAlignment="1">
      <alignment horizontal="left" vertical="center" wrapText="1"/>
    </xf>
    <xf numFmtId="0" fontId="49" fillId="0" borderId="150" xfId="0" applyFont="1" applyFill="1" applyBorder="1" applyAlignment="1">
      <alignment horizontal="left" vertical="center" wrapText="1"/>
    </xf>
    <xf numFmtId="0" fontId="49" fillId="0" borderId="152" xfId="0" applyFont="1" applyFill="1" applyBorder="1" applyAlignment="1">
      <alignment horizontal="left" vertical="center" wrapText="1"/>
    </xf>
    <xf numFmtId="2" fontId="3" fillId="0" borderId="8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5" fillId="0" borderId="15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9" fillId="0" borderId="84" xfId="0" applyFont="1" applyFill="1" applyBorder="1" applyAlignment="1">
      <alignment horizontal="left" vertical="center" wrapText="1"/>
    </xf>
    <xf numFmtId="0" fontId="3" fillId="4" borderId="8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81" fillId="4" borderId="167" xfId="0" applyFont="1" applyFill="1" applyBorder="1" applyAlignment="1">
      <alignment horizontal="center" vertical="center"/>
    </xf>
    <xf numFmtId="0" fontId="84" fillId="4" borderId="168" xfId="0" applyFont="1" applyFill="1" applyBorder="1"/>
    <xf numFmtId="0" fontId="84" fillId="4" borderId="170" xfId="0" applyFont="1" applyFill="1" applyBorder="1"/>
    <xf numFmtId="0" fontId="49" fillId="0" borderId="5" xfId="0" applyFont="1" applyFill="1" applyBorder="1" applyAlignment="1">
      <alignment horizontal="center" vertical="center" wrapText="1"/>
    </xf>
    <xf numFmtId="0" fontId="13" fillId="0" borderId="0" xfId="58" applyFont="1" applyAlignment="1">
      <alignment horizontal="left" vertical="center"/>
    </xf>
    <xf numFmtId="0" fontId="19" fillId="2" borderId="0" xfId="50" applyFont="1" applyFill="1" applyAlignment="1">
      <alignment horizontal="center" vertical="center" wrapText="1"/>
    </xf>
    <xf numFmtId="0" fontId="6" fillId="0" borderId="0" xfId="50" applyAlignment="1">
      <alignment horizontal="center"/>
    </xf>
    <xf numFmtId="0" fontId="6" fillId="0" borderId="18" xfId="50" applyBorder="1" applyAlignment="1">
      <alignment horizontal="center"/>
    </xf>
    <xf numFmtId="0" fontId="7" fillId="0" borderId="0" xfId="50" applyFont="1" applyAlignment="1">
      <alignment horizontal="center" vertical="center"/>
    </xf>
    <xf numFmtId="0" fontId="13" fillId="0" borderId="0" xfId="50" applyFont="1" applyAlignment="1">
      <alignment horizontal="left" vertical="center"/>
    </xf>
    <xf numFmtId="0" fontId="7" fillId="0" borderId="0" xfId="50" applyFont="1" applyAlignment="1">
      <alignment horizontal="center"/>
    </xf>
    <xf numFmtId="0" fontId="49" fillId="0" borderId="165" xfId="0" applyFont="1" applyFill="1" applyBorder="1" applyAlignment="1">
      <alignment horizontal="center" vertical="center" wrapText="1"/>
    </xf>
    <xf numFmtId="0" fontId="81" fillId="4" borderId="176" xfId="0" applyFont="1" applyFill="1" applyBorder="1" applyAlignment="1">
      <alignment horizontal="center" vertical="center" wrapText="1"/>
    </xf>
    <xf numFmtId="0" fontId="81" fillId="4" borderId="182" xfId="0" applyFont="1" applyFill="1" applyBorder="1" applyAlignment="1">
      <alignment horizontal="center" vertical="center" wrapText="1"/>
    </xf>
    <xf numFmtId="0" fontId="81" fillId="4" borderId="185" xfId="0" applyFont="1" applyFill="1" applyBorder="1" applyAlignment="1">
      <alignment horizontal="center" vertical="center" wrapText="1"/>
    </xf>
    <xf numFmtId="0" fontId="3" fillId="4" borderId="177" xfId="0" applyFont="1" applyFill="1" applyBorder="1" applyAlignment="1">
      <alignment horizontal="left" vertical="center" wrapText="1"/>
    </xf>
    <xf numFmtId="0" fontId="81" fillId="4" borderId="183" xfId="0" applyFont="1" applyFill="1" applyBorder="1" applyAlignment="1">
      <alignment horizontal="left" vertical="center" wrapText="1"/>
    </xf>
    <xf numFmtId="0" fontId="81" fillId="4" borderId="186" xfId="0" applyFont="1" applyFill="1" applyBorder="1" applyAlignment="1">
      <alignment horizontal="left" vertical="center" wrapText="1"/>
    </xf>
    <xf numFmtId="2" fontId="82" fillId="4" borderId="177" xfId="0" applyNumberFormat="1" applyFont="1" applyFill="1" applyBorder="1" applyAlignment="1">
      <alignment horizontal="center" vertical="center" wrapText="1"/>
    </xf>
    <xf numFmtId="2" fontId="82" fillId="4" borderId="183" xfId="0" applyNumberFormat="1" applyFont="1" applyFill="1" applyBorder="1" applyAlignment="1">
      <alignment horizontal="center" vertical="center" wrapText="1"/>
    </xf>
    <xf numFmtId="2" fontId="82" fillId="4" borderId="186" xfId="0" applyNumberFormat="1" applyFont="1" applyFill="1" applyBorder="1" applyAlignment="1">
      <alignment horizontal="center" vertical="center" wrapText="1"/>
    </xf>
    <xf numFmtId="0" fontId="4" fillId="4" borderId="181" xfId="0" applyFont="1" applyFill="1" applyBorder="1" applyAlignment="1">
      <alignment horizontal="center" vertical="center"/>
    </xf>
    <xf numFmtId="0" fontId="82" fillId="4" borderId="184" xfId="0" applyFont="1" applyFill="1" applyBorder="1" applyAlignment="1">
      <alignment horizontal="center" vertical="center"/>
    </xf>
    <xf numFmtId="0" fontId="82" fillId="4" borderId="187" xfId="0" applyFont="1" applyFill="1" applyBorder="1" applyAlignment="1">
      <alignment horizontal="center" vertical="center"/>
    </xf>
    <xf numFmtId="0" fontId="82" fillId="4" borderId="18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 wrapText="1"/>
    </xf>
    <xf numFmtId="0" fontId="7" fillId="0" borderId="142" xfId="0" applyFont="1" applyBorder="1" applyAlignment="1">
      <alignment horizontal="center"/>
    </xf>
    <xf numFmtId="0" fontId="7" fillId="0" borderId="175" xfId="0" applyFont="1" applyBorder="1" applyAlignment="1">
      <alignment horizontal="center"/>
    </xf>
    <xf numFmtId="0" fontId="7" fillId="0" borderId="173" xfId="0" applyFont="1" applyBorder="1" applyAlignment="1">
      <alignment horizontal="center"/>
    </xf>
    <xf numFmtId="0" fontId="7" fillId="0" borderId="92" xfId="0" applyFont="1" applyBorder="1" applyAlignment="1">
      <alignment horizontal="center"/>
    </xf>
    <xf numFmtId="0" fontId="7" fillId="0" borderId="174" xfId="0" applyFont="1" applyBorder="1" applyAlignment="1">
      <alignment horizontal="center"/>
    </xf>
    <xf numFmtId="0" fontId="7" fillId="0" borderId="14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7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19" fillId="2" borderId="0" xfId="1" applyFont="1" applyFill="1" applyAlignment="1">
      <alignment horizontal="center" vertical="center" wrapText="1"/>
    </xf>
    <xf numFmtId="0" fontId="6" fillId="0" borderId="0" xfId="1" applyAlignment="1">
      <alignment horizontal="center"/>
    </xf>
    <xf numFmtId="0" fontId="6" fillId="0" borderId="18" xfId="1" applyBorder="1" applyAlignment="1">
      <alignment horizontal="center"/>
    </xf>
    <xf numFmtId="2" fontId="1" fillId="0" borderId="0" xfId="0" applyNumberFormat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6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25" fillId="8" borderId="50" xfId="1" applyFont="1" applyFill="1" applyBorder="1" applyAlignment="1">
      <alignment horizontal="center" vertical="center" wrapText="1"/>
    </xf>
    <xf numFmtId="0" fontId="25" fillId="8" borderId="13" xfId="1" applyFont="1" applyFill="1" applyBorder="1" applyAlignment="1">
      <alignment horizontal="center" vertical="center" wrapText="1"/>
    </xf>
    <xf numFmtId="0" fontId="25" fillId="8" borderId="17" xfId="1" applyFont="1" applyFill="1" applyBorder="1" applyAlignment="1">
      <alignment horizontal="center" vertical="center" wrapText="1"/>
    </xf>
    <xf numFmtId="0" fontId="25" fillId="8" borderId="10" xfId="1" applyFont="1" applyFill="1" applyBorder="1" applyAlignment="1">
      <alignment horizontal="center" vertical="center" wrapText="1"/>
    </xf>
    <xf numFmtId="0" fontId="25" fillId="8" borderId="24" xfId="1" applyFont="1" applyFill="1" applyBorder="1" applyAlignment="1">
      <alignment horizontal="center" vertical="center" wrapText="1"/>
    </xf>
    <xf numFmtId="0" fontId="25" fillId="8" borderId="48" xfId="1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2" fontId="24" fillId="0" borderId="0" xfId="0" applyNumberFormat="1" applyFont="1" applyFill="1" applyBorder="1" applyAlignment="1">
      <alignment horizontal="center" vertical="center" wrapText="1"/>
    </xf>
    <xf numFmtId="0" fontId="25" fillId="0" borderId="48" xfId="1" applyFont="1" applyFill="1" applyBorder="1" applyAlignment="1">
      <alignment horizontal="center" vertical="center"/>
    </xf>
    <xf numFmtId="0" fontId="25" fillId="0" borderId="10" xfId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0" fontId="25" fillId="0" borderId="1" xfId="1" quotePrefix="1" applyFont="1" applyBorder="1" applyAlignment="1">
      <alignment horizontal="center" vertical="center"/>
    </xf>
    <xf numFmtId="0" fontId="25" fillId="0" borderId="0" xfId="1" quotePrefix="1" applyFont="1" applyBorder="1" applyAlignment="1">
      <alignment horizontal="center" vertical="center"/>
    </xf>
    <xf numFmtId="0" fontId="25" fillId="0" borderId="2" xfId="1" quotePrefix="1" applyFont="1" applyBorder="1" applyAlignment="1">
      <alignment horizontal="center" vertical="center"/>
    </xf>
    <xf numFmtId="0" fontId="25" fillId="8" borderId="49" xfId="1" applyFont="1" applyFill="1" applyBorder="1" applyAlignment="1">
      <alignment horizontal="center" vertical="center" wrapText="1"/>
    </xf>
    <xf numFmtId="0" fontId="25" fillId="8" borderId="8" xfId="1" applyFont="1" applyFill="1" applyBorder="1" applyAlignment="1">
      <alignment horizontal="center" vertical="center" wrapText="1"/>
    </xf>
    <xf numFmtId="0" fontId="25" fillId="8" borderId="19" xfId="1" applyFont="1" applyFill="1" applyBorder="1" applyAlignment="1">
      <alignment horizontal="center" vertical="center" wrapText="1"/>
    </xf>
    <xf numFmtId="0" fontId="11" fillId="14" borderId="25" xfId="0" applyFont="1" applyFill="1" applyBorder="1" applyAlignment="1">
      <alignment horizontal="right" vertical="top" wrapText="1"/>
    </xf>
    <xf numFmtId="0" fontId="11" fillId="14" borderId="26" xfId="0" applyFont="1" applyFill="1" applyBorder="1" applyAlignment="1">
      <alignment horizontal="right" vertical="top" wrapText="1"/>
    </xf>
    <xf numFmtId="0" fontId="11" fillId="14" borderId="27" xfId="0" applyFont="1" applyFill="1" applyBorder="1" applyAlignment="1">
      <alignment horizontal="right" vertical="top" wrapText="1"/>
    </xf>
    <xf numFmtId="0" fontId="11" fillId="48" borderId="25" xfId="0" applyFont="1" applyFill="1" applyBorder="1" applyAlignment="1">
      <alignment horizontal="right" vertical="top" wrapText="1"/>
    </xf>
    <xf numFmtId="0" fontId="11" fillId="48" borderId="26" xfId="0" applyFont="1" applyFill="1" applyBorder="1" applyAlignment="1">
      <alignment horizontal="right" vertical="top" wrapText="1"/>
    </xf>
    <xf numFmtId="0" fontId="11" fillId="48" borderId="27" xfId="0" applyFont="1" applyFill="1" applyBorder="1" applyAlignment="1">
      <alignment horizontal="right" vertical="top" wrapText="1"/>
    </xf>
    <xf numFmtId="0" fontId="3" fillId="4" borderId="155" xfId="0" applyFont="1" applyFill="1" applyBorder="1" applyAlignment="1">
      <alignment horizontal="center" vertical="center" wrapText="1"/>
    </xf>
  </cellXfs>
  <cellStyles count="59">
    <cellStyle name="20% - Ênfase1 2" xfId="21" xr:uid="{00000000-0005-0000-0000-000000000000}"/>
    <cellStyle name="20% - Ênfase2 2" xfId="25" xr:uid="{00000000-0005-0000-0000-000001000000}"/>
    <cellStyle name="20% - Ênfase3 2" xfId="29" xr:uid="{00000000-0005-0000-0000-000002000000}"/>
    <cellStyle name="20% - Ênfase4 2" xfId="33" xr:uid="{00000000-0005-0000-0000-000003000000}"/>
    <cellStyle name="20% - Ênfase5 2" xfId="37" xr:uid="{00000000-0005-0000-0000-000004000000}"/>
    <cellStyle name="20% - Ênfase6 2" xfId="41" xr:uid="{00000000-0005-0000-0000-000005000000}"/>
    <cellStyle name="40% - Ênfase1 2" xfId="22" xr:uid="{00000000-0005-0000-0000-000006000000}"/>
    <cellStyle name="40% - Ênfase2 2" xfId="26" xr:uid="{00000000-0005-0000-0000-000007000000}"/>
    <cellStyle name="40% - Ênfase3 2" xfId="30" xr:uid="{00000000-0005-0000-0000-000008000000}"/>
    <cellStyle name="40% - Ênfase4 2" xfId="34" xr:uid="{00000000-0005-0000-0000-000009000000}"/>
    <cellStyle name="40% - Ênfase5 2" xfId="38" xr:uid="{00000000-0005-0000-0000-00000A000000}"/>
    <cellStyle name="40% - Ênfase6 2" xfId="42" xr:uid="{00000000-0005-0000-0000-00000B000000}"/>
    <cellStyle name="60% - Ênfase1 2" xfId="23" xr:uid="{00000000-0005-0000-0000-00000C000000}"/>
    <cellStyle name="60% - Ênfase2 2" xfId="27" xr:uid="{00000000-0005-0000-0000-00000D000000}"/>
    <cellStyle name="60% - Ênfase3 2" xfId="31" xr:uid="{00000000-0005-0000-0000-00000E000000}"/>
    <cellStyle name="60% - Ênfase4 2" xfId="35" xr:uid="{00000000-0005-0000-0000-00000F000000}"/>
    <cellStyle name="60% - Ênfase5 2" xfId="39" xr:uid="{00000000-0005-0000-0000-000010000000}"/>
    <cellStyle name="60% - Ênfase6 2" xfId="43" xr:uid="{00000000-0005-0000-0000-000011000000}"/>
    <cellStyle name="Bom 2" xfId="8" xr:uid="{00000000-0005-0000-0000-000012000000}"/>
    <cellStyle name="Cálculo 2" xfId="13" xr:uid="{00000000-0005-0000-0000-000013000000}"/>
    <cellStyle name="Célula de Verificação 2" xfId="15" xr:uid="{00000000-0005-0000-0000-000014000000}"/>
    <cellStyle name="Célula Vinculada 2" xfId="14" xr:uid="{00000000-0005-0000-0000-000015000000}"/>
    <cellStyle name="Ênfase1 2" xfId="20" xr:uid="{00000000-0005-0000-0000-000016000000}"/>
    <cellStyle name="Ênfase2 2" xfId="24" xr:uid="{00000000-0005-0000-0000-000017000000}"/>
    <cellStyle name="Ênfase3 2" xfId="28" xr:uid="{00000000-0005-0000-0000-000018000000}"/>
    <cellStyle name="Ênfase4 2" xfId="32" xr:uid="{00000000-0005-0000-0000-000019000000}"/>
    <cellStyle name="Ênfase5 2" xfId="36" xr:uid="{00000000-0005-0000-0000-00001A000000}"/>
    <cellStyle name="Ênfase6 2" xfId="40" xr:uid="{00000000-0005-0000-0000-00001B000000}"/>
    <cellStyle name="Entrada 2" xfId="11" xr:uid="{00000000-0005-0000-0000-00001C000000}"/>
    <cellStyle name="Hiperlink 2" xfId="53" xr:uid="{00000000-0005-0000-0000-00001D000000}"/>
    <cellStyle name="Incorreto 2" xfId="9" xr:uid="{00000000-0005-0000-0000-00001E000000}"/>
    <cellStyle name="Moeda 2" xfId="49" xr:uid="{00000000-0005-0000-0000-00001F000000}"/>
    <cellStyle name="Moeda 3" xfId="54" xr:uid="{00000000-0005-0000-0000-000020000000}"/>
    <cellStyle name="Moeda 4" xfId="46" xr:uid="{00000000-0005-0000-0000-000021000000}"/>
    <cellStyle name="Neutra 2" xfId="10" xr:uid="{00000000-0005-0000-0000-000022000000}"/>
    <cellStyle name="Normal" xfId="0" builtinId="0"/>
    <cellStyle name="Normal 2" xfId="2" xr:uid="{00000000-0005-0000-0000-000024000000}"/>
    <cellStyle name="Normal 2 2" xfId="55" xr:uid="{00000000-0005-0000-0000-000025000000}"/>
    <cellStyle name="Normal 2 3" xfId="48" xr:uid="{00000000-0005-0000-0000-000026000000}"/>
    <cellStyle name="Normal 3" xfId="50" xr:uid="{00000000-0005-0000-0000-000027000000}"/>
    <cellStyle name="Normal 3 2" xfId="1" xr:uid="{00000000-0005-0000-0000-000028000000}"/>
    <cellStyle name="Normal 4" xfId="58" xr:uid="{2386A6CF-E790-4B03-A308-CE48230B3E6B}"/>
    <cellStyle name="Normal 6" xfId="45" xr:uid="{00000000-0005-0000-0000-000029000000}"/>
    <cellStyle name="Normal_Pesquisa no referencial 10 de maio de 2013" xfId="47" xr:uid="{00000000-0005-0000-0000-00002A000000}"/>
    <cellStyle name="Nota 2" xfId="17" xr:uid="{00000000-0005-0000-0000-00002B000000}"/>
    <cellStyle name="Porcentagem" xfId="57" builtinId="5"/>
    <cellStyle name="Porcentagem 2" xfId="44" xr:uid="{00000000-0005-0000-0000-00002D000000}"/>
    <cellStyle name="Porcentagem 2 2" xfId="52" xr:uid="{00000000-0005-0000-0000-00002E000000}"/>
    <cellStyle name="Saída 2" xfId="12" xr:uid="{00000000-0005-0000-0000-00002F000000}"/>
    <cellStyle name="Texto de Aviso 2" xfId="16" xr:uid="{00000000-0005-0000-0000-000030000000}"/>
    <cellStyle name="Texto Explicativo 2" xfId="18" xr:uid="{00000000-0005-0000-0000-000031000000}"/>
    <cellStyle name="Título 1 2" xfId="4" xr:uid="{00000000-0005-0000-0000-000032000000}"/>
    <cellStyle name="Título 2 2" xfId="5" xr:uid="{00000000-0005-0000-0000-000033000000}"/>
    <cellStyle name="Título 3 2" xfId="6" xr:uid="{00000000-0005-0000-0000-000034000000}"/>
    <cellStyle name="Título 4 2" xfId="7" xr:uid="{00000000-0005-0000-0000-000035000000}"/>
    <cellStyle name="Título 5" xfId="3" xr:uid="{00000000-0005-0000-0000-000036000000}"/>
    <cellStyle name="Total 2" xfId="19" xr:uid="{00000000-0005-0000-0000-000037000000}"/>
    <cellStyle name="Vírgula 2" xfId="51" xr:uid="{00000000-0005-0000-0000-000038000000}"/>
    <cellStyle name="Vírgula 3" xfId="56" xr:uid="{00000000-0005-0000-0000-000039000000}"/>
  </cellStyles>
  <dxfs count="27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34ECB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1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Cronograma Físico - Financeiro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1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Avanços Parciais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'004. Cronograma Físico-Financ.'!$I$54:$I$59</c:f>
              <c:numCache>
                <c:formatCode>General</c:formatCode>
                <c:ptCount val="6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</c:numCache>
            </c:numRef>
          </c:cat>
          <c:val>
            <c:numRef>
              <c:f>'004. Cronograma Físico-Financ.'!$J$54:$J$59</c:f>
              <c:numCache>
                <c:formatCode>0.000%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4-4F9D-AD17-A405D2CB6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3344"/>
        <c:axId val="35112784"/>
      </c:barChart>
      <c:lineChart>
        <c:grouping val="standard"/>
        <c:varyColors val="0"/>
        <c:ser>
          <c:idx val="1"/>
          <c:order val="1"/>
          <c:tx>
            <c:v>Avanços Acumulados</c:v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31750">
                <a:solidFill>
                  <a:schemeClr val="tx1"/>
                </a:solidFill>
              </a:ln>
              <a:effectLst/>
            </c:spPr>
          </c:marker>
          <c:cat>
            <c:numRef>
              <c:f>'004. Cronograma Físico-Financ.'!$I$54:$I$59</c:f>
              <c:numCache>
                <c:formatCode>General</c:formatCode>
                <c:ptCount val="6"/>
                <c:pt idx="0">
                  <c:v>15</c:v>
                </c:pt>
                <c:pt idx="1">
                  <c:v>30</c:v>
                </c:pt>
                <c:pt idx="2">
                  <c:v>45</c:v>
                </c:pt>
                <c:pt idx="3">
                  <c:v>60</c:v>
                </c:pt>
                <c:pt idx="4">
                  <c:v>75</c:v>
                </c:pt>
                <c:pt idx="5">
                  <c:v>90</c:v>
                </c:pt>
              </c:numCache>
            </c:numRef>
          </c:cat>
          <c:val>
            <c:numRef>
              <c:f>'004. Cronograma Físico-Financ.'!$K$54:$K$59</c:f>
              <c:numCache>
                <c:formatCode>0.000%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4-4F9D-AD17-A405D2CB6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045392"/>
        <c:axId val="35122304"/>
      </c:lineChart>
      <c:catAx>
        <c:axId val="352045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1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Dias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1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1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35122304"/>
        <c:crosses val="autoZero"/>
        <c:auto val="1"/>
        <c:lblAlgn val="ctr"/>
        <c:lblOffset val="100"/>
        <c:noMultiLvlLbl val="0"/>
      </c:catAx>
      <c:valAx>
        <c:axId val="351223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1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Evolução Físico - Financeira (Acumuladas)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1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1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352045392"/>
        <c:crosses val="autoZero"/>
        <c:crossBetween val="between"/>
        <c:majorUnit val="5.000000000000001E-2"/>
        <c:minorUnit val="5.000000000000001E-2"/>
      </c:valAx>
      <c:valAx>
        <c:axId val="351127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1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Avanços</a:t>
                </a:r>
                <a:r>
                  <a:rPr lang="pt-BR" baseline="0"/>
                  <a:t> </a:t>
                </a:r>
                <a:r>
                  <a:rPr lang="pt-BR"/>
                  <a:t>Parciais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1" u="none" strike="noStrike" kern="1200" baseline="0">
                  <a:solidFill>
                    <a:sysClr val="windowText" lastClr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1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35113344"/>
        <c:crosses val="max"/>
        <c:crossBetween val="between"/>
      </c:valAx>
      <c:catAx>
        <c:axId val="3511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12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1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 i="1">
          <a:solidFill>
            <a:sysClr val="windowText" lastClr="000000"/>
          </a:solidFill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51</xdr:row>
      <xdr:rowOff>57714</xdr:rowOff>
    </xdr:from>
    <xdr:to>
      <xdr:col>17</xdr:col>
      <xdr:colOff>361950</xdr:colOff>
      <xdr:row>78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19050</xdr:colOff>
      <xdr:row>10</xdr:row>
      <xdr:rowOff>19050</xdr:rowOff>
    </xdr:to>
    <xdr:sp macro="" textlink="">
      <xdr:nvSp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305175" y="2066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19050</xdr:rowOff>
    </xdr:to>
    <xdr:sp macro="" textlink="">
      <xdr:nvSp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524375" y="20669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1095376</xdr:colOff>
      <xdr:row>0</xdr:row>
      <xdr:rowOff>133349</xdr:rowOff>
    </xdr:from>
    <xdr:to>
      <xdr:col>8</xdr:col>
      <xdr:colOff>403226</xdr:colOff>
      <xdr:row>5</xdr:row>
      <xdr:rowOff>66675</xdr:rowOff>
    </xdr:to>
    <xdr:pic>
      <xdr:nvPicPr>
        <xdr:cNvPr id="4" name="Imagem 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1" y="133349"/>
          <a:ext cx="698500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0</xdr:row>
      <xdr:rowOff>66676</xdr:rowOff>
    </xdr:from>
    <xdr:to>
      <xdr:col>2</xdr:col>
      <xdr:colOff>381000</xdr:colOff>
      <xdr:row>5</xdr:row>
      <xdr:rowOff>17625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6"/>
          <a:ext cx="962025" cy="865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9</xdr:row>
      <xdr:rowOff>0</xdr:rowOff>
    </xdr:from>
    <xdr:ext cx="9525" cy="9525"/>
    <xdr:sp macro="" textlink="">
      <xdr:nvSpPr>
        <xdr:cNvPr id="6" name="Pictur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305175" y="169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0" cy="9525"/>
    <xdr:sp macro="" textlink="">
      <xdr:nvSpPr>
        <xdr:cNvPr id="7" name="Picture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524375" y="16954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9525" cy="9525"/>
    <xdr:sp macro="" textlink="">
      <xdr:nvSpPr>
        <xdr:cNvPr id="8" name="Pictur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524375" y="169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9" name="Picture 1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10" name="Picture 1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11" name="Picture 2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12" name="Picture 2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13" name="Picture 27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4" name="Picture 28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305175" y="5534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15" name="Picture 29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6" name="Picture 30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305175" y="5534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17" name="Picture 14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6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18" name="Picture 9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58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19" name="Picture 9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496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20" name="Picture 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21" name="Picture 92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22" name="Picture 14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23" name="Picture 8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1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24" name="Picture 9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1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25" name="Picture 1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1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27" name="Picture 14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2225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28" name="Picture 14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2606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29" name="Picture 14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774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30" name="Picture 9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774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31" name="Picture 9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774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32" name="Picture 14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3100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33" name="Picture 9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3100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34" name="Picture 9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3100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35" name="Picture 1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162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36" name="Picture 1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162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37" name="Picture 21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162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38" name="Picture 24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162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39" name="Picture 27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162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40" name="Picture 28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0848975" y="31623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41" name="Picture 29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3162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42" name="Picture 30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0848975" y="31623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0</xdr:rowOff>
    </xdr:to>
    <xdr:sp macro="" textlink="">
      <xdr:nvSpPr>
        <xdr:cNvPr id="43" name="Picture 8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298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12</xdr:row>
      <xdr:rowOff>0</xdr:rowOff>
    </xdr:from>
    <xdr:ext cx="9525" cy="9525"/>
    <xdr:sp macro="" textlink="">
      <xdr:nvSpPr>
        <xdr:cNvPr id="44" name="Picture 9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298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9525"/>
    <xdr:sp macro="" textlink="">
      <xdr:nvSpPr>
        <xdr:cNvPr id="45" name="Picture 1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298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9525"/>
    <xdr:sp macro="" textlink="">
      <xdr:nvSpPr>
        <xdr:cNvPr id="46" name="Picture 8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9525"/>
    <xdr:sp macro="" textlink="">
      <xdr:nvSpPr>
        <xdr:cNvPr id="47" name="Picture 9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9525" cy="9525"/>
    <xdr:sp macro="" textlink="">
      <xdr:nvSpPr>
        <xdr:cNvPr id="48" name="Picture 1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" y="2800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49" name="Picture 1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50" name="Picture 15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51" name="Picture 2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52" name="Picture 24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53" name="Picture 27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134</xdr:row>
      <xdr:rowOff>0</xdr:rowOff>
    </xdr:from>
    <xdr:ext cx="0" cy="9525"/>
    <xdr:sp macro="" textlink="">
      <xdr:nvSpPr>
        <xdr:cNvPr id="54" name="Picture 28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0846594" y="10025063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55" name="Picture 29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134</xdr:row>
      <xdr:rowOff>0</xdr:rowOff>
    </xdr:from>
    <xdr:ext cx="0" cy="9525"/>
    <xdr:sp macro="" textlink="">
      <xdr:nvSpPr>
        <xdr:cNvPr id="56" name="Picture 30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0846594" y="10025063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57" name="Picture 8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58" name="Picture 9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59" name="Picture 14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60" name="Picture 8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61" name="Picture 92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62" name="Picture 14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63" name="Picture 14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64" name="Picture 14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65" name="Picture 1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66" name="Picture 9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134</xdr:row>
      <xdr:rowOff>0</xdr:rowOff>
    </xdr:from>
    <xdr:ext cx="9525" cy="9525"/>
    <xdr:sp macro="" textlink="">
      <xdr:nvSpPr>
        <xdr:cNvPr id="67" name="Picture 92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345406" y="10025063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0</xdr:colOff>
      <xdr:row>9</xdr:row>
      <xdr:rowOff>0</xdr:rowOff>
    </xdr:from>
    <xdr:to>
      <xdr:col>4</xdr:col>
      <xdr:colOff>19050</xdr:colOff>
      <xdr:row>9</xdr:row>
      <xdr:rowOff>19050</xdr:rowOff>
    </xdr:to>
    <xdr:sp macro="" textlink="">
      <xdr:nvSpPr>
        <xdr:cNvPr id="68" name="Picture 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19050</xdr:rowOff>
    </xdr:to>
    <xdr:sp macro="" textlink="">
      <xdr:nvSpPr>
        <xdr:cNvPr id="69" name="Picture 2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5467350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19050</xdr:colOff>
      <xdr:row>9</xdr:row>
      <xdr:rowOff>19050</xdr:rowOff>
    </xdr:to>
    <xdr:sp macro="" textlink="">
      <xdr:nvSpPr>
        <xdr:cNvPr id="70" name="Picture 1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54673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19050</xdr:colOff>
      <xdr:row>9</xdr:row>
      <xdr:rowOff>19050</xdr:rowOff>
    </xdr:to>
    <xdr:sp macro="" textlink="">
      <xdr:nvSpPr>
        <xdr:cNvPr id="71" name="Picture 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54673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19050</xdr:colOff>
      <xdr:row>9</xdr:row>
      <xdr:rowOff>19050</xdr:rowOff>
    </xdr:to>
    <xdr:sp macro="" textlink="">
      <xdr:nvSpPr>
        <xdr:cNvPr id="72" name="Picture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19050</xdr:colOff>
      <xdr:row>9</xdr:row>
      <xdr:rowOff>19050</xdr:rowOff>
    </xdr:to>
    <xdr:sp macro="" textlink="">
      <xdr:nvSpPr>
        <xdr:cNvPr id="73" name="Picture 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19050</xdr:colOff>
      <xdr:row>9</xdr:row>
      <xdr:rowOff>19050</xdr:rowOff>
    </xdr:to>
    <xdr:sp macro="" textlink="">
      <xdr:nvSpPr>
        <xdr:cNvPr id="74" name="Picture 1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162425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19050</xdr:rowOff>
    </xdr:to>
    <xdr:sp macro="" textlink="">
      <xdr:nvSpPr>
        <xdr:cNvPr id="75" name="Picture 2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5467350" y="17145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19050</xdr:colOff>
      <xdr:row>9</xdr:row>
      <xdr:rowOff>19050</xdr:rowOff>
    </xdr:to>
    <xdr:sp macro="" textlink="">
      <xdr:nvSpPr>
        <xdr:cNvPr id="76" name="Picture 1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54673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19050</xdr:colOff>
      <xdr:row>9</xdr:row>
      <xdr:rowOff>19050</xdr:rowOff>
    </xdr:to>
    <xdr:sp macro="" textlink="">
      <xdr:nvSpPr>
        <xdr:cNvPr id="77" name="Picture 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546735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19050</xdr:colOff>
      <xdr:row>9</xdr:row>
      <xdr:rowOff>19050</xdr:rowOff>
    </xdr:to>
    <xdr:sp macro="" textlink="">
      <xdr:nvSpPr>
        <xdr:cNvPr id="78" name="Picture 1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19050</xdr:colOff>
      <xdr:row>9</xdr:row>
      <xdr:rowOff>19050</xdr:rowOff>
    </xdr:to>
    <xdr:sp macro="" textlink="">
      <xdr:nvSpPr>
        <xdr:cNvPr id="79" name="Picture 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14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15240</xdr:colOff>
      <xdr:row>79</xdr:row>
      <xdr:rowOff>15240</xdr:rowOff>
    </xdr:to>
    <xdr:sp macro="" textlink="">
      <xdr:nvSpPr>
        <xdr:cNvPr id="80" name="Picture 12">
          <a:extLst>
            <a:ext uri="{FF2B5EF4-FFF2-40B4-BE49-F238E27FC236}">
              <a16:creationId xmlns:a16="http://schemas.microsoft.com/office/drawing/2014/main" id="{E2A8A8C0-9FA0-4BCD-8AEB-A82A383B8442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15240</xdr:colOff>
      <xdr:row>79</xdr:row>
      <xdr:rowOff>15240</xdr:rowOff>
    </xdr:to>
    <xdr:sp macro="" textlink="">
      <xdr:nvSpPr>
        <xdr:cNvPr id="81" name="Picture 15">
          <a:extLst>
            <a:ext uri="{FF2B5EF4-FFF2-40B4-BE49-F238E27FC236}">
              <a16:creationId xmlns:a16="http://schemas.microsoft.com/office/drawing/2014/main" id="{61298E26-23F4-494E-919D-5E57BD2781FD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15240</xdr:colOff>
      <xdr:row>79</xdr:row>
      <xdr:rowOff>15240</xdr:rowOff>
    </xdr:to>
    <xdr:sp macro="" textlink="">
      <xdr:nvSpPr>
        <xdr:cNvPr id="82" name="Picture 21">
          <a:extLst>
            <a:ext uri="{FF2B5EF4-FFF2-40B4-BE49-F238E27FC236}">
              <a16:creationId xmlns:a16="http://schemas.microsoft.com/office/drawing/2014/main" id="{480985CD-5E53-40F1-912D-B953271BC518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15240</xdr:colOff>
      <xdr:row>79</xdr:row>
      <xdr:rowOff>15240</xdr:rowOff>
    </xdr:to>
    <xdr:sp macro="" textlink="">
      <xdr:nvSpPr>
        <xdr:cNvPr id="83" name="Picture 24">
          <a:extLst>
            <a:ext uri="{FF2B5EF4-FFF2-40B4-BE49-F238E27FC236}">
              <a16:creationId xmlns:a16="http://schemas.microsoft.com/office/drawing/2014/main" id="{68E0B9D1-A519-4438-8A5D-7B2453F8905C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15240</xdr:colOff>
      <xdr:row>79</xdr:row>
      <xdr:rowOff>15240</xdr:rowOff>
    </xdr:to>
    <xdr:sp macro="" textlink="">
      <xdr:nvSpPr>
        <xdr:cNvPr id="84" name="Picture 27">
          <a:extLst>
            <a:ext uri="{FF2B5EF4-FFF2-40B4-BE49-F238E27FC236}">
              <a16:creationId xmlns:a16="http://schemas.microsoft.com/office/drawing/2014/main" id="{EB46E313-345D-41D9-B9A6-B0FB81F50B7D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0</xdr:colOff>
      <xdr:row>79</xdr:row>
      <xdr:rowOff>15240</xdr:rowOff>
    </xdr:to>
    <xdr:sp macro="" textlink="">
      <xdr:nvSpPr>
        <xdr:cNvPr id="85" name="Picture 28">
          <a:extLst>
            <a:ext uri="{FF2B5EF4-FFF2-40B4-BE49-F238E27FC236}">
              <a16:creationId xmlns:a16="http://schemas.microsoft.com/office/drawing/2014/main" id="{2AD35AEB-2EF7-4C2E-92A5-BBA135687C70}"/>
            </a:ext>
          </a:extLst>
        </xdr:cNvPr>
        <xdr:cNvSpPr>
          <a:spLocks noChangeAspect="1" noChangeArrowheads="1"/>
        </xdr:cNvSpPr>
      </xdr:nvSpPr>
      <xdr:spPr bwMode="auto">
        <a:xfrm>
          <a:off x="8130540" y="297180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15240</xdr:colOff>
      <xdr:row>79</xdr:row>
      <xdr:rowOff>15240</xdr:rowOff>
    </xdr:to>
    <xdr:sp macro="" textlink="">
      <xdr:nvSpPr>
        <xdr:cNvPr id="86" name="Picture 29">
          <a:extLst>
            <a:ext uri="{FF2B5EF4-FFF2-40B4-BE49-F238E27FC236}">
              <a16:creationId xmlns:a16="http://schemas.microsoft.com/office/drawing/2014/main" id="{611C0458-BCAD-4FF2-A81B-71D7719A7702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79</xdr:row>
      <xdr:rowOff>0</xdr:rowOff>
    </xdr:from>
    <xdr:to>
      <xdr:col>4</xdr:col>
      <xdr:colOff>0</xdr:colOff>
      <xdr:row>79</xdr:row>
      <xdr:rowOff>15240</xdr:rowOff>
    </xdr:to>
    <xdr:sp macro="" textlink="">
      <xdr:nvSpPr>
        <xdr:cNvPr id="87" name="Picture 30">
          <a:extLst>
            <a:ext uri="{FF2B5EF4-FFF2-40B4-BE49-F238E27FC236}">
              <a16:creationId xmlns:a16="http://schemas.microsoft.com/office/drawing/2014/main" id="{4ED97FC0-1DFB-4A2B-B0B4-131BD4554919}"/>
            </a:ext>
          </a:extLst>
        </xdr:cNvPr>
        <xdr:cNvSpPr>
          <a:spLocks noChangeAspect="1" noChangeArrowheads="1"/>
        </xdr:cNvSpPr>
      </xdr:nvSpPr>
      <xdr:spPr bwMode="auto">
        <a:xfrm>
          <a:off x="8130540" y="297180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79</xdr:row>
      <xdr:rowOff>0</xdr:rowOff>
    </xdr:from>
    <xdr:to>
      <xdr:col>2</xdr:col>
      <xdr:colOff>15240</xdr:colOff>
      <xdr:row>79</xdr:row>
      <xdr:rowOff>15240</xdr:rowOff>
    </xdr:to>
    <xdr:sp macro="" textlink="">
      <xdr:nvSpPr>
        <xdr:cNvPr id="88" name="Picture 8">
          <a:extLst>
            <a:ext uri="{FF2B5EF4-FFF2-40B4-BE49-F238E27FC236}">
              <a16:creationId xmlns:a16="http://schemas.microsoft.com/office/drawing/2014/main" id="{BE15FA40-60D6-4519-8174-098F6902D52E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79</xdr:row>
      <xdr:rowOff>0</xdr:rowOff>
    </xdr:from>
    <xdr:ext cx="9525" cy="9525"/>
    <xdr:sp macro="" textlink="">
      <xdr:nvSpPr>
        <xdr:cNvPr id="89" name="Picture 92">
          <a:extLst>
            <a:ext uri="{FF2B5EF4-FFF2-40B4-BE49-F238E27FC236}">
              <a16:creationId xmlns:a16="http://schemas.microsoft.com/office/drawing/2014/main" id="{64C6E18E-7519-45ED-9154-9C79003B142B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9525" cy="9525"/>
    <xdr:sp macro="" textlink="">
      <xdr:nvSpPr>
        <xdr:cNvPr id="90" name="Picture 14">
          <a:extLst>
            <a:ext uri="{FF2B5EF4-FFF2-40B4-BE49-F238E27FC236}">
              <a16:creationId xmlns:a16="http://schemas.microsoft.com/office/drawing/2014/main" id="{19BB83D6-931B-4E76-8503-35A8416E619A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9525" cy="9525"/>
    <xdr:sp macro="" textlink="">
      <xdr:nvSpPr>
        <xdr:cNvPr id="91" name="Picture 8">
          <a:extLst>
            <a:ext uri="{FF2B5EF4-FFF2-40B4-BE49-F238E27FC236}">
              <a16:creationId xmlns:a16="http://schemas.microsoft.com/office/drawing/2014/main" id="{2F669923-74CE-407E-9D46-AAB86DEA6EE7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9525" cy="9525"/>
    <xdr:sp macro="" textlink="">
      <xdr:nvSpPr>
        <xdr:cNvPr id="92" name="Picture 92">
          <a:extLst>
            <a:ext uri="{FF2B5EF4-FFF2-40B4-BE49-F238E27FC236}">
              <a16:creationId xmlns:a16="http://schemas.microsoft.com/office/drawing/2014/main" id="{D469E351-25E5-4EFB-9786-29E3EF3D1561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9525" cy="9525"/>
    <xdr:sp macro="" textlink="">
      <xdr:nvSpPr>
        <xdr:cNvPr id="93" name="Picture 14">
          <a:extLst>
            <a:ext uri="{FF2B5EF4-FFF2-40B4-BE49-F238E27FC236}">
              <a16:creationId xmlns:a16="http://schemas.microsoft.com/office/drawing/2014/main" id="{7B280CAA-6DCA-4274-A64D-02E21ACC4E2C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9525" cy="9525"/>
    <xdr:sp macro="" textlink="">
      <xdr:nvSpPr>
        <xdr:cNvPr id="94" name="Picture 14">
          <a:extLst>
            <a:ext uri="{FF2B5EF4-FFF2-40B4-BE49-F238E27FC236}">
              <a16:creationId xmlns:a16="http://schemas.microsoft.com/office/drawing/2014/main" id="{CE0C733B-51FA-4341-A300-C0A00EFED0CC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9525" cy="9525"/>
    <xdr:sp macro="" textlink="">
      <xdr:nvSpPr>
        <xdr:cNvPr id="95" name="Picture 14">
          <a:extLst>
            <a:ext uri="{FF2B5EF4-FFF2-40B4-BE49-F238E27FC236}">
              <a16:creationId xmlns:a16="http://schemas.microsoft.com/office/drawing/2014/main" id="{3A4C44AB-A544-4F37-8F62-78B1CF31A84A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9525" cy="9525"/>
    <xdr:sp macro="" textlink="">
      <xdr:nvSpPr>
        <xdr:cNvPr id="96" name="Picture 14">
          <a:extLst>
            <a:ext uri="{FF2B5EF4-FFF2-40B4-BE49-F238E27FC236}">
              <a16:creationId xmlns:a16="http://schemas.microsoft.com/office/drawing/2014/main" id="{A8737753-E7B2-4A93-B987-9E95D78DF2D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9525" cy="9525"/>
    <xdr:sp macro="" textlink="">
      <xdr:nvSpPr>
        <xdr:cNvPr id="97" name="Picture 92">
          <a:extLst>
            <a:ext uri="{FF2B5EF4-FFF2-40B4-BE49-F238E27FC236}">
              <a16:creationId xmlns:a16="http://schemas.microsoft.com/office/drawing/2014/main" id="{EA78D6D2-5A53-4256-BB05-A1B2FD49430A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79</xdr:row>
      <xdr:rowOff>0</xdr:rowOff>
    </xdr:from>
    <xdr:ext cx="9525" cy="9525"/>
    <xdr:sp macro="" textlink="">
      <xdr:nvSpPr>
        <xdr:cNvPr id="98" name="Picture 92">
          <a:extLst>
            <a:ext uri="{FF2B5EF4-FFF2-40B4-BE49-F238E27FC236}">
              <a16:creationId xmlns:a16="http://schemas.microsoft.com/office/drawing/2014/main" id="{A62E49DD-19FF-4C70-9445-203BDEA47335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83</xdr:row>
      <xdr:rowOff>0</xdr:rowOff>
    </xdr:from>
    <xdr:to>
      <xdr:col>2</xdr:col>
      <xdr:colOff>19050</xdr:colOff>
      <xdr:row>83</xdr:row>
      <xdr:rowOff>19050</xdr:rowOff>
    </xdr:to>
    <xdr:sp macro="" textlink="">
      <xdr:nvSpPr>
        <xdr:cNvPr id="108" name="Picture 14">
          <a:extLst>
            <a:ext uri="{FF2B5EF4-FFF2-40B4-BE49-F238E27FC236}">
              <a16:creationId xmlns:a16="http://schemas.microsoft.com/office/drawing/2014/main" id="{818A05B7-464E-4FEA-8561-933031EB07AA}"/>
            </a:ext>
          </a:extLst>
        </xdr:cNvPr>
        <xdr:cNvSpPr>
          <a:spLocks noChangeAspect="1" noChangeArrowheads="1"/>
        </xdr:cNvSpPr>
      </xdr:nvSpPr>
      <xdr:spPr bwMode="auto">
        <a:xfrm>
          <a:off x="1386840" y="508254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83</xdr:row>
      <xdr:rowOff>0</xdr:rowOff>
    </xdr:from>
    <xdr:to>
      <xdr:col>2</xdr:col>
      <xdr:colOff>19050</xdr:colOff>
      <xdr:row>83</xdr:row>
      <xdr:rowOff>19050</xdr:rowOff>
    </xdr:to>
    <xdr:sp macro="" textlink="">
      <xdr:nvSpPr>
        <xdr:cNvPr id="109" name="Picture 92">
          <a:extLst>
            <a:ext uri="{FF2B5EF4-FFF2-40B4-BE49-F238E27FC236}">
              <a16:creationId xmlns:a16="http://schemas.microsoft.com/office/drawing/2014/main" id="{88320271-D269-41DE-8497-8958484A4A97}"/>
            </a:ext>
          </a:extLst>
        </xdr:cNvPr>
        <xdr:cNvSpPr>
          <a:spLocks noChangeAspect="1" noChangeArrowheads="1"/>
        </xdr:cNvSpPr>
      </xdr:nvSpPr>
      <xdr:spPr bwMode="auto">
        <a:xfrm>
          <a:off x="1386840" y="508254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83</xdr:row>
      <xdr:rowOff>0</xdr:rowOff>
    </xdr:from>
    <xdr:ext cx="9525" cy="9525"/>
    <xdr:sp macro="" textlink="">
      <xdr:nvSpPr>
        <xdr:cNvPr id="110" name="Picture 92">
          <a:extLst>
            <a:ext uri="{FF2B5EF4-FFF2-40B4-BE49-F238E27FC236}">
              <a16:creationId xmlns:a16="http://schemas.microsoft.com/office/drawing/2014/main" id="{064C5F48-0305-4795-99D2-F85B6AA1295D}"/>
            </a:ext>
          </a:extLst>
        </xdr:cNvPr>
        <xdr:cNvSpPr>
          <a:spLocks noChangeAspect="1" noChangeArrowheads="1"/>
        </xdr:cNvSpPr>
      </xdr:nvSpPr>
      <xdr:spPr bwMode="auto">
        <a:xfrm>
          <a:off x="1386840" y="50825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115</xdr:row>
      <xdr:rowOff>0</xdr:rowOff>
    </xdr:from>
    <xdr:ext cx="9525" cy="9525"/>
    <xdr:sp macro="" textlink="">
      <xdr:nvSpPr>
        <xdr:cNvPr id="111" name="Picture 14">
          <a:extLst>
            <a:ext uri="{FF2B5EF4-FFF2-40B4-BE49-F238E27FC236}">
              <a16:creationId xmlns:a16="http://schemas.microsoft.com/office/drawing/2014/main" id="{4D2B9009-D738-4996-A157-45BBB3DECC97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5034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115</xdr:row>
      <xdr:rowOff>0</xdr:rowOff>
    </xdr:from>
    <xdr:ext cx="9525" cy="9525"/>
    <xdr:sp macro="" textlink="">
      <xdr:nvSpPr>
        <xdr:cNvPr id="112" name="Picture 92">
          <a:extLst>
            <a:ext uri="{FF2B5EF4-FFF2-40B4-BE49-F238E27FC236}">
              <a16:creationId xmlns:a16="http://schemas.microsoft.com/office/drawing/2014/main" id="{04D2F23B-4F48-46C8-87C3-F5E3C120B968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5034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115</xdr:row>
      <xdr:rowOff>0</xdr:rowOff>
    </xdr:from>
    <xdr:ext cx="9525" cy="9525"/>
    <xdr:sp macro="" textlink="">
      <xdr:nvSpPr>
        <xdr:cNvPr id="113" name="Picture 92">
          <a:extLst>
            <a:ext uri="{FF2B5EF4-FFF2-40B4-BE49-F238E27FC236}">
              <a16:creationId xmlns:a16="http://schemas.microsoft.com/office/drawing/2014/main" id="{791C5977-9525-40C9-A554-5DDFDD96C88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5034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-9525</xdr:colOff>
      <xdr:row>129</xdr:row>
      <xdr:rowOff>0</xdr:rowOff>
    </xdr:from>
    <xdr:ext cx="38100" cy="9525"/>
    <xdr:sp macro="" textlink="">
      <xdr:nvSpPr>
        <xdr:cNvPr id="114" name="Shape 5">
          <a:extLst>
            <a:ext uri="{FF2B5EF4-FFF2-40B4-BE49-F238E27FC236}">
              <a16:creationId xmlns:a16="http://schemas.microsoft.com/office/drawing/2014/main" id="{F96F9141-1269-4B40-9481-DECECF246D18}"/>
            </a:ext>
          </a:extLst>
        </xdr:cNvPr>
        <xdr:cNvSpPr/>
      </xdr:nvSpPr>
      <xdr:spPr>
        <a:xfrm>
          <a:off x="1377315" y="2050542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129</xdr:row>
      <xdr:rowOff>0</xdr:rowOff>
    </xdr:from>
    <xdr:ext cx="38100" cy="9525"/>
    <xdr:sp macro="" textlink="">
      <xdr:nvSpPr>
        <xdr:cNvPr id="115" name="Shape 5">
          <a:extLst>
            <a:ext uri="{FF2B5EF4-FFF2-40B4-BE49-F238E27FC236}">
              <a16:creationId xmlns:a16="http://schemas.microsoft.com/office/drawing/2014/main" id="{FF47A597-FC17-4859-AB8D-D76D80FA13FA}"/>
            </a:ext>
          </a:extLst>
        </xdr:cNvPr>
        <xdr:cNvSpPr/>
      </xdr:nvSpPr>
      <xdr:spPr>
        <a:xfrm>
          <a:off x="1377315" y="2050542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129</xdr:row>
      <xdr:rowOff>0</xdr:rowOff>
    </xdr:from>
    <xdr:ext cx="38100" cy="9525"/>
    <xdr:sp macro="" textlink="">
      <xdr:nvSpPr>
        <xdr:cNvPr id="116" name="Shape 5">
          <a:extLst>
            <a:ext uri="{FF2B5EF4-FFF2-40B4-BE49-F238E27FC236}">
              <a16:creationId xmlns:a16="http://schemas.microsoft.com/office/drawing/2014/main" id="{6267838F-286B-421D-9CA4-C65CA3811E7E}"/>
            </a:ext>
          </a:extLst>
        </xdr:cNvPr>
        <xdr:cNvSpPr/>
      </xdr:nvSpPr>
      <xdr:spPr>
        <a:xfrm>
          <a:off x="1377315" y="2050542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61704</xdr:rowOff>
    </xdr:from>
    <xdr:to>
      <xdr:col>6</xdr:col>
      <xdr:colOff>701959</xdr:colOff>
      <xdr:row>4</xdr:row>
      <xdr:rowOff>78270</xdr:rowOff>
    </xdr:to>
    <xdr:pic>
      <xdr:nvPicPr>
        <xdr:cNvPr id="2" name="Imagem 28">
          <a:extLst>
            <a:ext uri="{FF2B5EF4-FFF2-40B4-BE49-F238E27FC236}">
              <a16:creationId xmlns:a16="http://schemas.microsoft.com/office/drawing/2014/main" id="{425DA2AF-352B-47F6-8B49-601CC34F4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57894"/>
          <a:ext cx="629569" cy="70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146678</xdr:colOff>
      <xdr:row>0</xdr:row>
      <xdr:rowOff>18638</xdr:rowOff>
    </xdr:from>
    <xdr:ext cx="779318" cy="691182"/>
    <xdr:pic>
      <xdr:nvPicPr>
        <xdr:cNvPr id="3" name="Imagem 1">
          <a:extLst>
            <a:ext uri="{FF2B5EF4-FFF2-40B4-BE49-F238E27FC236}">
              <a16:creationId xmlns:a16="http://schemas.microsoft.com/office/drawing/2014/main" id="{852F0AE5-19DB-4FD1-9B9C-0F75E3B93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73" y="22448"/>
          <a:ext cx="779318" cy="69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0</xdr:colOff>
      <xdr:row>10</xdr:row>
      <xdr:rowOff>0</xdr:rowOff>
    </xdr:from>
    <xdr:to>
      <xdr:col>3</xdr:col>
      <xdr:colOff>15240</xdr:colOff>
      <xdr:row>10</xdr:row>
      <xdr:rowOff>15240</xdr:rowOff>
    </xdr:to>
    <xdr:sp macro="" textlink="">
      <xdr:nvSpPr>
        <xdr:cNvPr id="4" name="Picture 1">
          <a:extLst>
            <a:ext uri="{FF2B5EF4-FFF2-40B4-BE49-F238E27FC236}">
              <a16:creationId xmlns:a16="http://schemas.microsoft.com/office/drawing/2014/main" id="{D70F1CC8-FC02-4225-BC4F-A98F0A4D4498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71450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0</xdr:colOff>
      <xdr:row>10</xdr:row>
      <xdr:rowOff>15240</xdr:rowOff>
    </xdr:to>
    <xdr:sp macro="" textlink="">
      <xdr:nvSpPr>
        <xdr:cNvPr id="5" name="Picture 2">
          <a:extLst>
            <a:ext uri="{FF2B5EF4-FFF2-40B4-BE49-F238E27FC236}">
              <a16:creationId xmlns:a16="http://schemas.microsoft.com/office/drawing/2014/main" id="{5A03C9BA-8E69-424C-90CC-C1FCE506D69A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714500"/>
          <a:ext cx="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15240</xdr:colOff>
      <xdr:row>9</xdr:row>
      <xdr:rowOff>15240</xdr:rowOff>
    </xdr:to>
    <xdr:sp macro="" textlink="">
      <xdr:nvSpPr>
        <xdr:cNvPr id="6" name="Picture 1">
          <a:extLst>
            <a:ext uri="{FF2B5EF4-FFF2-40B4-BE49-F238E27FC236}">
              <a16:creationId xmlns:a16="http://schemas.microsoft.com/office/drawing/2014/main" id="{CDF52A23-30D6-4970-BFF7-559C22C92EF4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0</xdr:colOff>
      <xdr:row>9</xdr:row>
      <xdr:rowOff>15240</xdr:rowOff>
    </xdr:to>
    <xdr:sp macro="" textlink="">
      <xdr:nvSpPr>
        <xdr:cNvPr id="7" name="Picture 2">
          <a:extLst>
            <a:ext uri="{FF2B5EF4-FFF2-40B4-BE49-F238E27FC236}">
              <a16:creationId xmlns:a16="http://schemas.microsoft.com/office/drawing/2014/main" id="{664F85EE-B607-4C47-AD70-C6085FC6249F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8" name="Picture 1">
          <a:extLst>
            <a:ext uri="{FF2B5EF4-FFF2-40B4-BE49-F238E27FC236}">
              <a16:creationId xmlns:a16="http://schemas.microsoft.com/office/drawing/2014/main" id="{B6DFB745-AE0A-41CC-B21C-3CC540759D82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9" name="Picture 1">
          <a:extLst>
            <a:ext uri="{FF2B5EF4-FFF2-40B4-BE49-F238E27FC236}">
              <a16:creationId xmlns:a16="http://schemas.microsoft.com/office/drawing/2014/main" id="{757C65FF-6091-4E7C-8748-36E10DE51255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0</xdr:colOff>
      <xdr:row>9</xdr:row>
      <xdr:rowOff>15240</xdr:rowOff>
    </xdr:to>
    <xdr:sp macro="" textlink="">
      <xdr:nvSpPr>
        <xdr:cNvPr id="10" name="Picture 2">
          <a:extLst>
            <a:ext uri="{FF2B5EF4-FFF2-40B4-BE49-F238E27FC236}">
              <a16:creationId xmlns:a16="http://schemas.microsoft.com/office/drawing/2014/main" id="{604DB818-73D8-43DB-B000-9F8F7FEC2A24}"/>
            </a:ext>
          </a:extLst>
        </xdr:cNvPr>
        <xdr:cNvSpPr>
          <a:spLocks noChangeAspect="1" noChangeArrowheads="1"/>
        </xdr:cNvSpPr>
      </xdr:nvSpPr>
      <xdr:spPr bwMode="auto">
        <a:xfrm>
          <a:off x="6276975" y="1543050"/>
          <a:ext cx="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15240</xdr:colOff>
      <xdr:row>9</xdr:row>
      <xdr:rowOff>15240</xdr:rowOff>
    </xdr:to>
    <xdr:sp macro="" textlink="">
      <xdr:nvSpPr>
        <xdr:cNvPr id="11" name="Picture 1">
          <a:extLst>
            <a:ext uri="{FF2B5EF4-FFF2-40B4-BE49-F238E27FC236}">
              <a16:creationId xmlns:a16="http://schemas.microsoft.com/office/drawing/2014/main" id="{841AEAFF-CC4C-4C7D-802D-8B7047087DCB}"/>
            </a:ext>
          </a:extLst>
        </xdr:cNvPr>
        <xdr:cNvSpPr>
          <a:spLocks noChangeAspect="1" noChangeArrowheads="1"/>
        </xdr:cNvSpPr>
      </xdr:nvSpPr>
      <xdr:spPr bwMode="auto">
        <a:xfrm>
          <a:off x="6276975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12" name="Picture 1">
          <a:extLst>
            <a:ext uri="{FF2B5EF4-FFF2-40B4-BE49-F238E27FC236}">
              <a16:creationId xmlns:a16="http://schemas.microsoft.com/office/drawing/2014/main" id="{F6FA6BCA-19A1-452A-AC66-9E8C6F500A4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13" name="Picture 1">
          <a:extLst>
            <a:ext uri="{FF2B5EF4-FFF2-40B4-BE49-F238E27FC236}">
              <a16:creationId xmlns:a16="http://schemas.microsoft.com/office/drawing/2014/main" id="{BE3FC0BF-C3A1-49ED-8A53-B8CB7E74BC1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14" name="Picture 1">
          <a:extLst>
            <a:ext uri="{FF2B5EF4-FFF2-40B4-BE49-F238E27FC236}">
              <a16:creationId xmlns:a16="http://schemas.microsoft.com/office/drawing/2014/main" id="{7CFB72C9-8C57-4FC9-8114-F7A878B331C3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15" name="Picture 1">
          <a:extLst>
            <a:ext uri="{FF2B5EF4-FFF2-40B4-BE49-F238E27FC236}">
              <a16:creationId xmlns:a16="http://schemas.microsoft.com/office/drawing/2014/main" id="{FEE0022E-5680-4B99-A8D9-DDE40DFC886F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15240</xdr:colOff>
      <xdr:row>9</xdr:row>
      <xdr:rowOff>15240</xdr:rowOff>
    </xdr:to>
    <xdr:sp macro="" textlink="">
      <xdr:nvSpPr>
        <xdr:cNvPr id="16" name="Picture 1">
          <a:extLst>
            <a:ext uri="{FF2B5EF4-FFF2-40B4-BE49-F238E27FC236}">
              <a16:creationId xmlns:a16="http://schemas.microsoft.com/office/drawing/2014/main" id="{E07FF13E-5D89-48AD-8B9D-4C909EA07D8C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0</xdr:colOff>
      <xdr:row>9</xdr:row>
      <xdr:rowOff>15240</xdr:rowOff>
    </xdr:to>
    <xdr:sp macro="" textlink="">
      <xdr:nvSpPr>
        <xdr:cNvPr id="17" name="Picture 2">
          <a:extLst>
            <a:ext uri="{FF2B5EF4-FFF2-40B4-BE49-F238E27FC236}">
              <a16:creationId xmlns:a16="http://schemas.microsoft.com/office/drawing/2014/main" id="{28B25E30-B3AE-40E3-9582-3C5119AAB3DC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18" name="Picture 1">
          <a:extLst>
            <a:ext uri="{FF2B5EF4-FFF2-40B4-BE49-F238E27FC236}">
              <a16:creationId xmlns:a16="http://schemas.microsoft.com/office/drawing/2014/main" id="{1151CB3D-0A04-48FE-95EA-056763514E9B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19" name="Picture 1">
          <a:extLst>
            <a:ext uri="{FF2B5EF4-FFF2-40B4-BE49-F238E27FC236}">
              <a16:creationId xmlns:a16="http://schemas.microsoft.com/office/drawing/2014/main" id="{6A683AA4-ADCE-4ACC-A5E9-B43F86E3FFC9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20" name="Picture 1">
          <a:extLst>
            <a:ext uri="{FF2B5EF4-FFF2-40B4-BE49-F238E27FC236}">
              <a16:creationId xmlns:a16="http://schemas.microsoft.com/office/drawing/2014/main" id="{614C07E9-23E7-4446-BF9F-0F11638766D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21" name="Picture 1">
          <a:extLst>
            <a:ext uri="{FF2B5EF4-FFF2-40B4-BE49-F238E27FC236}">
              <a16:creationId xmlns:a16="http://schemas.microsoft.com/office/drawing/2014/main" id="{1F1472AB-0099-431A-9812-00118B577BD2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15240</xdr:colOff>
      <xdr:row>9</xdr:row>
      <xdr:rowOff>15240</xdr:rowOff>
    </xdr:to>
    <xdr:sp macro="" textlink="">
      <xdr:nvSpPr>
        <xdr:cNvPr id="22" name="Picture 1">
          <a:extLst>
            <a:ext uri="{FF2B5EF4-FFF2-40B4-BE49-F238E27FC236}">
              <a16:creationId xmlns:a16="http://schemas.microsoft.com/office/drawing/2014/main" id="{BB9294BD-751E-411F-91EF-8E24A32C2C4C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0</xdr:colOff>
      <xdr:row>9</xdr:row>
      <xdr:rowOff>15240</xdr:rowOff>
    </xdr:to>
    <xdr:sp macro="" textlink="">
      <xdr:nvSpPr>
        <xdr:cNvPr id="23" name="Picture 2">
          <a:extLst>
            <a:ext uri="{FF2B5EF4-FFF2-40B4-BE49-F238E27FC236}">
              <a16:creationId xmlns:a16="http://schemas.microsoft.com/office/drawing/2014/main" id="{B2E432FA-F00F-4C1A-BA97-B15CD28711EB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24" name="Picture 1">
          <a:extLst>
            <a:ext uri="{FF2B5EF4-FFF2-40B4-BE49-F238E27FC236}">
              <a16:creationId xmlns:a16="http://schemas.microsoft.com/office/drawing/2014/main" id="{540488FC-9083-4B6F-BC0C-6B44D81CC7C7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25" name="Picture 1">
          <a:extLst>
            <a:ext uri="{FF2B5EF4-FFF2-40B4-BE49-F238E27FC236}">
              <a16:creationId xmlns:a16="http://schemas.microsoft.com/office/drawing/2014/main" id="{BC1FED62-7BD6-4E47-AC4E-397520BDD2F2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26" name="Picture 1">
          <a:extLst>
            <a:ext uri="{FF2B5EF4-FFF2-40B4-BE49-F238E27FC236}">
              <a16:creationId xmlns:a16="http://schemas.microsoft.com/office/drawing/2014/main" id="{44C12447-2E73-49D5-BF22-5EFD147110E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27" name="Picture 1">
          <a:extLst>
            <a:ext uri="{FF2B5EF4-FFF2-40B4-BE49-F238E27FC236}">
              <a16:creationId xmlns:a16="http://schemas.microsoft.com/office/drawing/2014/main" id="{CBE67FB3-FB6C-44E6-9C33-37AD9C4FB23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15240</xdr:colOff>
      <xdr:row>9</xdr:row>
      <xdr:rowOff>15240</xdr:rowOff>
    </xdr:to>
    <xdr:sp macro="" textlink="">
      <xdr:nvSpPr>
        <xdr:cNvPr id="28" name="Picture 1">
          <a:extLst>
            <a:ext uri="{FF2B5EF4-FFF2-40B4-BE49-F238E27FC236}">
              <a16:creationId xmlns:a16="http://schemas.microsoft.com/office/drawing/2014/main" id="{74BB5BBD-06EC-43DA-9F6F-2B69D8D36F37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0</xdr:colOff>
      <xdr:row>9</xdr:row>
      <xdr:rowOff>15240</xdr:rowOff>
    </xdr:to>
    <xdr:sp macro="" textlink="">
      <xdr:nvSpPr>
        <xdr:cNvPr id="29" name="Picture 2">
          <a:extLst>
            <a:ext uri="{FF2B5EF4-FFF2-40B4-BE49-F238E27FC236}">
              <a16:creationId xmlns:a16="http://schemas.microsoft.com/office/drawing/2014/main" id="{CCCD895F-24E4-4181-A647-50D98C243D1A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30" name="Picture 1">
          <a:extLst>
            <a:ext uri="{FF2B5EF4-FFF2-40B4-BE49-F238E27FC236}">
              <a16:creationId xmlns:a16="http://schemas.microsoft.com/office/drawing/2014/main" id="{B06D82B7-830C-4519-9572-94DA1724801A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31" name="Picture 1">
          <a:extLst>
            <a:ext uri="{FF2B5EF4-FFF2-40B4-BE49-F238E27FC236}">
              <a16:creationId xmlns:a16="http://schemas.microsoft.com/office/drawing/2014/main" id="{81240DA3-579E-4CF9-A532-BFB4998918AF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32" name="Picture 1">
          <a:extLst>
            <a:ext uri="{FF2B5EF4-FFF2-40B4-BE49-F238E27FC236}">
              <a16:creationId xmlns:a16="http://schemas.microsoft.com/office/drawing/2014/main" id="{58139E0D-4BFF-42F0-B016-F052BB93CE3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33" name="Picture 1">
          <a:extLst>
            <a:ext uri="{FF2B5EF4-FFF2-40B4-BE49-F238E27FC236}">
              <a16:creationId xmlns:a16="http://schemas.microsoft.com/office/drawing/2014/main" id="{83F27C0A-56F9-4776-9177-158BFF25D09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15240</xdr:colOff>
      <xdr:row>9</xdr:row>
      <xdr:rowOff>15240</xdr:rowOff>
    </xdr:to>
    <xdr:sp macro="" textlink="">
      <xdr:nvSpPr>
        <xdr:cNvPr id="34" name="Picture 1">
          <a:extLst>
            <a:ext uri="{FF2B5EF4-FFF2-40B4-BE49-F238E27FC236}">
              <a16:creationId xmlns:a16="http://schemas.microsoft.com/office/drawing/2014/main" id="{3E7CAE93-43A1-499C-BFA1-70B4F402D044}"/>
            </a:ext>
          </a:extLst>
        </xdr:cNvPr>
        <xdr:cNvSpPr>
          <a:spLocks noChangeAspect="1" noChangeArrowheads="1"/>
        </xdr:cNvSpPr>
      </xdr:nvSpPr>
      <xdr:spPr bwMode="auto">
        <a:xfrm>
          <a:off x="401955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0</xdr:colOff>
      <xdr:row>9</xdr:row>
      <xdr:rowOff>15240</xdr:rowOff>
    </xdr:to>
    <xdr:sp macro="" textlink="">
      <xdr:nvSpPr>
        <xdr:cNvPr id="35" name="Picture 2">
          <a:extLst>
            <a:ext uri="{FF2B5EF4-FFF2-40B4-BE49-F238E27FC236}">
              <a16:creationId xmlns:a16="http://schemas.microsoft.com/office/drawing/2014/main" id="{A6D3C031-3C7F-4979-BB7A-3CD73BDB364A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36" name="Picture 1">
          <a:extLst>
            <a:ext uri="{FF2B5EF4-FFF2-40B4-BE49-F238E27FC236}">
              <a16:creationId xmlns:a16="http://schemas.microsoft.com/office/drawing/2014/main" id="{305FEB4D-0DFE-4F0C-99B2-8A448B77589C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15240</xdr:colOff>
      <xdr:row>9</xdr:row>
      <xdr:rowOff>15240</xdr:rowOff>
    </xdr:to>
    <xdr:sp macro="" textlink="">
      <xdr:nvSpPr>
        <xdr:cNvPr id="37" name="Picture 1">
          <a:extLst>
            <a:ext uri="{FF2B5EF4-FFF2-40B4-BE49-F238E27FC236}">
              <a16:creationId xmlns:a16="http://schemas.microsoft.com/office/drawing/2014/main" id="{1FFBB7F6-BE8E-4572-8DF0-BC4582D6565C}"/>
            </a:ext>
          </a:extLst>
        </xdr:cNvPr>
        <xdr:cNvSpPr>
          <a:spLocks noChangeAspect="1" noChangeArrowheads="1"/>
        </xdr:cNvSpPr>
      </xdr:nvSpPr>
      <xdr:spPr bwMode="auto">
        <a:xfrm>
          <a:off x="5667375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38" name="Picture 1">
          <a:extLst>
            <a:ext uri="{FF2B5EF4-FFF2-40B4-BE49-F238E27FC236}">
              <a16:creationId xmlns:a16="http://schemas.microsoft.com/office/drawing/2014/main" id="{539AA225-6E10-44CE-952B-79BA605FDB3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15240</xdr:colOff>
      <xdr:row>9</xdr:row>
      <xdr:rowOff>15240</xdr:rowOff>
    </xdr:to>
    <xdr:sp macro="" textlink="">
      <xdr:nvSpPr>
        <xdr:cNvPr id="39" name="Picture 1">
          <a:extLst>
            <a:ext uri="{FF2B5EF4-FFF2-40B4-BE49-F238E27FC236}">
              <a16:creationId xmlns:a16="http://schemas.microsoft.com/office/drawing/2014/main" id="{2AF14B47-F39E-42BF-A813-57A78F5E53A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543050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161926</xdr:colOff>
      <xdr:row>0</xdr:row>
      <xdr:rowOff>66676</xdr:rowOff>
    </xdr:from>
    <xdr:to>
      <xdr:col>2</xdr:col>
      <xdr:colOff>57317</xdr:colOff>
      <xdr:row>5</xdr:row>
      <xdr:rowOff>20057</xdr:rowOff>
    </xdr:to>
    <xdr:pic>
      <xdr:nvPicPr>
        <xdr:cNvPr id="40" name="Imagem 1">
          <a:extLst>
            <a:ext uri="{FF2B5EF4-FFF2-40B4-BE49-F238E27FC236}">
              <a16:creationId xmlns:a16="http://schemas.microsoft.com/office/drawing/2014/main" id="{418B9575-E1A3-411F-BBB5-591C2F562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1" y="64771"/>
          <a:ext cx="865036" cy="795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15240</xdr:colOff>
      <xdr:row>10</xdr:row>
      <xdr:rowOff>15240</xdr:rowOff>
    </xdr:to>
    <xdr:sp macro="" textlink="">
      <xdr:nvSpPr>
        <xdr:cNvPr id="2" name="Picture 1">
          <a:extLst>
            <a:ext uri="{FF2B5EF4-FFF2-40B4-BE49-F238E27FC236}">
              <a16:creationId xmlns:a16="http://schemas.microsoft.com/office/drawing/2014/main" id="{962EEF26-223F-4732-8450-EA0C7C0A8071}"/>
            </a:ext>
          </a:extLst>
        </xdr:cNvPr>
        <xdr:cNvSpPr>
          <a:spLocks noChangeAspect="1" noChangeArrowheads="1"/>
        </xdr:cNvSpPr>
      </xdr:nvSpPr>
      <xdr:spPr bwMode="auto">
        <a:xfrm>
          <a:off x="8130540" y="1828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0</xdr:colOff>
      <xdr:row>10</xdr:row>
      <xdr:rowOff>15240</xdr:rowOff>
    </xdr:to>
    <xdr:sp macro="" textlink="">
      <xdr:nvSpPr>
        <xdr:cNvPr id="3" name="Picture 2">
          <a:extLst>
            <a:ext uri="{FF2B5EF4-FFF2-40B4-BE49-F238E27FC236}">
              <a16:creationId xmlns:a16="http://schemas.microsoft.com/office/drawing/2014/main" id="{24688D45-71E3-4006-9B0E-CD4B705DEF3E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182880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987398</xdr:colOff>
      <xdr:row>0</xdr:row>
      <xdr:rowOff>52713</xdr:rowOff>
    </xdr:from>
    <xdr:to>
      <xdr:col>8</xdr:col>
      <xdr:colOff>399575</xdr:colOff>
      <xdr:row>4</xdr:row>
      <xdr:rowOff>161523</xdr:rowOff>
    </xdr:to>
    <xdr:pic>
      <xdr:nvPicPr>
        <xdr:cNvPr id="4" name="Imagem 28">
          <a:extLst>
            <a:ext uri="{FF2B5EF4-FFF2-40B4-BE49-F238E27FC236}">
              <a16:creationId xmlns:a16="http://schemas.microsoft.com/office/drawing/2014/main" id="{A69B93A4-9EF8-45E6-834A-7BDEDD02E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3118" y="52713"/>
          <a:ext cx="638997" cy="8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434789</xdr:colOff>
      <xdr:row>0</xdr:row>
      <xdr:rowOff>149039</xdr:rowOff>
    </xdr:from>
    <xdr:to>
      <xdr:col>2</xdr:col>
      <xdr:colOff>667199</xdr:colOff>
      <xdr:row>5</xdr:row>
      <xdr:rowOff>117133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34AAE41-ECF6-46FE-AC23-DA43E0B61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629" y="149039"/>
          <a:ext cx="994410" cy="825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9</xdr:row>
      <xdr:rowOff>0</xdr:rowOff>
    </xdr:from>
    <xdr:ext cx="9525" cy="9525"/>
    <xdr:sp macro="" textlink="">
      <xdr:nvSpPr>
        <xdr:cNvPr id="6" name="Picture 1">
          <a:extLst>
            <a:ext uri="{FF2B5EF4-FFF2-40B4-BE49-F238E27FC236}">
              <a16:creationId xmlns:a16="http://schemas.microsoft.com/office/drawing/2014/main" id="{D76A877A-6F65-47A4-BF93-56FFFB4CFEEB}"/>
            </a:ext>
          </a:extLst>
        </xdr:cNvPr>
        <xdr:cNvSpPr>
          <a:spLocks noChangeAspect="1" noChangeArrowheads="1"/>
        </xdr:cNvSpPr>
      </xdr:nvSpPr>
      <xdr:spPr bwMode="auto">
        <a:xfrm>
          <a:off x="8130540" y="16535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0" cy="9525"/>
    <xdr:sp macro="" textlink="">
      <xdr:nvSpPr>
        <xdr:cNvPr id="7" name="Picture 2">
          <a:extLst>
            <a:ext uri="{FF2B5EF4-FFF2-40B4-BE49-F238E27FC236}">
              <a16:creationId xmlns:a16="http://schemas.microsoft.com/office/drawing/2014/main" id="{AFF54940-EAC7-4DBD-B8EF-2C1A894CAF5D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165354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9525" cy="9525"/>
    <xdr:sp macro="" textlink="">
      <xdr:nvSpPr>
        <xdr:cNvPr id="8" name="Picture 1">
          <a:extLst>
            <a:ext uri="{FF2B5EF4-FFF2-40B4-BE49-F238E27FC236}">
              <a16:creationId xmlns:a16="http://schemas.microsoft.com/office/drawing/2014/main" id="{02B82450-710A-40C8-9F0E-CE80FABC9036}"/>
            </a:ext>
          </a:extLst>
        </xdr:cNvPr>
        <xdr:cNvSpPr>
          <a:spLocks noChangeAspect="1" noChangeArrowheads="1"/>
        </xdr:cNvSpPr>
      </xdr:nvSpPr>
      <xdr:spPr bwMode="auto">
        <a:xfrm>
          <a:off x="10957560" y="16535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15</xdr:row>
      <xdr:rowOff>0</xdr:rowOff>
    </xdr:from>
    <xdr:to>
      <xdr:col>2</xdr:col>
      <xdr:colOff>15240</xdr:colOff>
      <xdr:row>15</xdr:row>
      <xdr:rowOff>15240</xdr:rowOff>
    </xdr:to>
    <xdr:sp macro="" textlink="">
      <xdr:nvSpPr>
        <xdr:cNvPr id="9" name="Picture 12">
          <a:extLst>
            <a:ext uri="{FF2B5EF4-FFF2-40B4-BE49-F238E27FC236}">
              <a16:creationId xmlns:a16="http://schemas.microsoft.com/office/drawing/2014/main" id="{A1C4662A-A276-4A6F-91AF-022CA18064C6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15240</xdr:colOff>
      <xdr:row>15</xdr:row>
      <xdr:rowOff>15240</xdr:rowOff>
    </xdr:to>
    <xdr:sp macro="" textlink="">
      <xdr:nvSpPr>
        <xdr:cNvPr id="10" name="Picture 15">
          <a:extLst>
            <a:ext uri="{FF2B5EF4-FFF2-40B4-BE49-F238E27FC236}">
              <a16:creationId xmlns:a16="http://schemas.microsoft.com/office/drawing/2014/main" id="{72A90EB3-F7E8-4143-BFFC-0FAFEBE54C6D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15240</xdr:colOff>
      <xdr:row>15</xdr:row>
      <xdr:rowOff>15240</xdr:rowOff>
    </xdr:to>
    <xdr:sp macro="" textlink="">
      <xdr:nvSpPr>
        <xdr:cNvPr id="11" name="Picture 21">
          <a:extLst>
            <a:ext uri="{FF2B5EF4-FFF2-40B4-BE49-F238E27FC236}">
              <a16:creationId xmlns:a16="http://schemas.microsoft.com/office/drawing/2014/main" id="{37FAC8BC-0F48-4F8E-867B-680855D53B64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15240</xdr:colOff>
      <xdr:row>15</xdr:row>
      <xdr:rowOff>15240</xdr:rowOff>
    </xdr:to>
    <xdr:sp macro="" textlink="">
      <xdr:nvSpPr>
        <xdr:cNvPr id="12" name="Picture 24">
          <a:extLst>
            <a:ext uri="{FF2B5EF4-FFF2-40B4-BE49-F238E27FC236}">
              <a16:creationId xmlns:a16="http://schemas.microsoft.com/office/drawing/2014/main" id="{C44CC100-EFDE-4C40-B346-CB972AF5D836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15240</xdr:colOff>
      <xdr:row>15</xdr:row>
      <xdr:rowOff>15240</xdr:rowOff>
    </xdr:to>
    <xdr:sp macro="" textlink="">
      <xdr:nvSpPr>
        <xdr:cNvPr id="13" name="Picture 27">
          <a:extLst>
            <a:ext uri="{FF2B5EF4-FFF2-40B4-BE49-F238E27FC236}">
              <a16:creationId xmlns:a16="http://schemas.microsoft.com/office/drawing/2014/main" id="{3462CAE5-3336-44B4-ADD7-231F9B372F67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0</xdr:colOff>
      <xdr:row>15</xdr:row>
      <xdr:rowOff>15240</xdr:rowOff>
    </xdr:to>
    <xdr:sp macro="" textlink="">
      <xdr:nvSpPr>
        <xdr:cNvPr id="14" name="Picture 28">
          <a:extLst>
            <a:ext uri="{FF2B5EF4-FFF2-40B4-BE49-F238E27FC236}">
              <a16:creationId xmlns:a16="http://schemas.microsoft.com/office/drawing/2014/main" id="{99919F2B-B628-4E17-8A03-846514023C0C}"/>
            </a:ext>
          </a:extLst>
        </xdr:cNvPr>
        <xdr:cNvSpPr>
          <a:spLocks noChangeAspect="1" noChangeArrowheads="1"/>
        </xdr:cNvSpPr>
      </xdr:nvSpPr>
      <xdr:spPr bwMode="auto">
        <a:xfrm>
          <a:off x="8130540" y="297180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15240</xdr:colOff>
      <xdr:row>15</xdr:row>
      <xdr:rowOff>15240</xdr:rowOff>
    </xdr:to>
    <xdr:sp macro="" textlink="">
      <xdr:nvSpPr>
        <xdr:cNvPr id="15" name="Picture 29">
          <a:extLst>
            <a:ext uri="{FF2B5EF4-FFF2-40B4-BE49-F238E27FC236}">
              <a16:creationId xmlns:a16="http://schemas.microsoft.com/office/drawing/2014/main" id="{EF6F80D8-F672-4E30-9D2B-8C7FD204190D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0</xdr:colOff>
      <xdr:row>15</xdr:row>
      <xdr:rowOff>15240</xdr:rowOff>
    </xdr:to>
    <xdr:sp macro="" textlink="">
      <xdr:nvSpPr>
        <xdr:cNvPr id="16" name="Picture 30">
          <a:extLst>
            <a:ext uri="{FF2B5EF4-FFF2-40B4-BE49-F238E27FC236}">
              <a16:creationId xmlns:a16="http://schemas.microsoft.com/office/drawing/2014/main" id="{376404EA-A981-49C5-B6BD-68720736AD0C}"/>
            </a:ext>
          </a:extLst>
        </xdr:cNvPr>
        <xdr:cNvSpPr>
          <a:spLocks noChangeAspect="1" noChangeArrowheads="1"/>
        </xdr:cNvSpPr>
      </xdr:nvSpPr>
      <xdr:spPr bwMode="auto">
        <a:xfrm>
          <a:off x="8130540" y="297180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15240</xdr:colOff>
      <xdr:row>19</xdr:row>
      <xdr:rowOff>15240</xdr:rowOff>
    </xdr:to>
    <xdr:sp macro="" textlink="">
      <xdr:nvSpPr>
        <xdr:cNvPr id="17" name="Picture 14">
          <a:extLst>
            <a:ext uri="{FF2B5EF4-FFF2-40B4-BE49-F238E27FC236}">
              <a16:creationId xmlns:a16="http://schemas.microsoft.com/office/drawing/2014/main" id="{FD3367EA-68FD-4307-8F00-B8D4055E21CB}"/>
            </a:ext>
          </a:extLst>
        </xdr:cNvPr>
        <xdr:cNvSpPr>
          <a:spLocks noChangeAspect="1" noChangeArrowheads="1"/>
        </xdr:cNvSpPr>
      </xdr:nvSpPr>
      <xdr:spPr bwMode="auto">
        <a:xfrm>
          <a:off x="1386840" y="508254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15240</xdr:colOff>
      <xdr:row>19</xdr:row>
      <xdr:rowOff>15240</xdr:rowOff>
    </xdr:to>
    <xdr:sp macro="" textlink="">
      <xdr:nvSpPr>
        <xdr:cNvPr id="18" name="Picture 92">
          <a:extLst>
            <a:ext uri="{FF2B5EF4-FFF2-40B4-BE49-F238E27FC236}">
              <a16:creationId xmlns:a16="http://schemas.microsoft.com/office/drawing/2014/main" id="{9188BC32-A588-4612-91DD-08DE499EF694}"/>
            </a:ext>
          </a:extLst>
        </xdr:cNvPr>
        <xdr:cNvSpPr>
          <a:spLocks noChangeAspect="1" noChangeArrowheads="1"/>
        </xdr:cNvSpPr>
      </xdr:nvSpPr>
      <xdr:spPr bwMode="auto">
        <a:xfrm>
          <a:off x="1386840" y="508254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19</xdr:row>
      <xdr:rowOff>0</xdr:rowOff>
    </xdr:from>
    <xdr:ext cx="9525" cy="9525"/>
    <xdr:sp macro="" textlink="">
      <xdr:nvSpPr>
        <xdr:cNvPr id="19" name="Picture 92">
          <a:extLst>
            <a:ext uri="{FF2B5EF4-FFF2-40B4-BE49-F238E27FC236}">
              <a16:creationId xmlns:a16="http://schemas.microsoft.com/office/drawing/2014/main" id="{2A98FEA9-0727-475E-8544-D671218B7262}"/>
            </a:ext>
          </a:extLst>
        </xdr:cNvPr>
        <xdr:cNvSpPr>
          <a:spLocks noChangeAspect="1" noChangeArrowheads="1"/>
        </xdr:cNvSpPr>
      </xdr:nvSpPr>
      <xdr:spPr bwMode="auto">
        <a:xfrm>
          <a:off x="1386840" y="50825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15</xdr:row>
      <xdr:rowOff>0</xdr:rowOff>
    </xdr:from>
    <xdr:to>
      <xdr:col>2</xdr:col>
      <xdr:colOff>15240</xdr:colOff>
      <xdr:row>15</xdr:row>
      <xdr:rowOff>15240</xdr:rowOff>
    </xdr:to>
    <xdr:sp macro="" textlink="">
      <xdr:nvSpPr>
        <xdr:cNvPr id="20" name="Picture 8">
          <a:extLst>
            <a:ext uri="{FF2B5EF4-FFF2-40B4-BE49-F238E27FC236}">
              <a16:creationId xmlns:a16="http://schemas.microsoft.com/office/drawing/2014/main" id="{F7FDC2C2-AC32-48EB-8BEA-B57B2FAB4A31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21" name="Picture 92">
          <a:extLst>
            <a:ext uri="{FF2B5EF4-FFF2-40B4-BE49-F238E27FC236}">
              <a16:creationId xmlns:a16="http://schemas.microsoft.com/office/drawing/2014/main" id="{B90C504A-A361-436F-B1F1-5175C959B159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22" name="Picture 14">
          <a:extLst>
            <a:ext uri="{FF2B5EF4-FFF2-40B4-BE49-F238E27FC236}">
              <a16:creationId xmlns:a16="http://schemas.microsoft.com/office/drawing/2014/main" id="{DE1FDC97-C375-41B6-BF9B-3423ABFA6F7C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23" name="Picture 8">
          <a:extLst>
            <a:ext uri="{FF2B5EF4-FFF2-40B4-BE49-F238E27FC236}">
              <a16:creationId xmlns:a16="http://schemas.microsoft.com/office/drawing/2014/main" id="{090CCD64-8F5D-4B70-979E-DBEEFF58DA6C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24" name="Picture 92">
          <a:extLst>
            <a:ext uri="{FF2B5EF4-FFF2-40B4-BE49-F238E27FC236}">
              <a16:creationId xmlns:a16="http://schemas.microsoft.com/office/drawing/2014/main" id="{8328A217-1943-4E50-8074-F76FA11880F1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25" name="Picture 14">
          <a:extLst>
            <a:ext uri="{FF2B5EF4-FFF2-40B4-BE49-F238E27FC236}">
              <a16:creationId xmlns:a16="http://schemas.microsoft.com/office/drawing/2014/main" id="{70FDED0D-D57C-4AC0-89C2-377A28616C8C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26" name="Picture 14">
          <a:extLst>
            <a:ext uri="{FF2B5EF4-FFF2-40B4-BE49-F238E27FC236}">
              <a16:creationId xmlns:a16="http://schemas.microsoft.com/office/drawing/2014/main" id="{9EFAC08D-10BF-4C34-A635-EF916A2E7FA5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27" name="Picture 14">
          <a:extLst>
            <a:ext uri="{FF2B5EF4-FFF2-40B4-BE49-F238E27FC236}">
              <a16:creationId xmlns:a16="http://schemas.microsoft.com/office/drawing/2014/main" id="{46AB08B2-FEB2-4479-ABBF-7CACBEBEEDD2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9525" cy="9525"/>
    <xdr:sp macro="" textlink="">
      <xdr:nvSpPr>
        <xdr:cNvPr id="28" name="Picture 14">
          <a:extLst>
            <a:ext uri="{FF2B5EF4-FFF2-40B4-BE49-F238E27FC236}">
              <a16:creationId xmlns:a16="http://schemas.microsoft.com/office/drawing/2014/main" id="{FCA68242-3853-44C1-894D-7FA34FE30760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5034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9525" cy="9525"/>
    <xdr:sp macro="" textlink="">
      <xdr:nvSpPr>
        <xdr:cNvPr id="29" name="Picture 92">
          <a:extLst>
            <a:ext uri="{FF2B5EF4-FFF2-40B4-BE49-F238E27FC236}">
              <a16:creationId xmlns:a16="http://schemas.microsoft.com/office/drawing/2014/main" id="{139CDA36-A9B2-41DB-A39A-EE73A266FD35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5034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9525" cy="9525"/>
    <xdr:sp macro="" textlink="">
      <xdr:nvSpPr>
        <xdr:cNvPr id="30" name="Picture 92">
          <a:extLst>
            <a:ext uri="{FF2B5EF4-FFF2-40B4-BE49-F238E27FC236}">
              <a16:creationId xmlns:a16="http://schemas.microsoft.com/office/drawing/2014/main" id="{28E53943-E8DD-4C25-9899-7C130438C5DC}"/>
            </a:ext>
          </a:extLst>
        </xdr:cNvPr>
        <xdr:cNvSpPr>
          <a:spLocks noChangeAspect="1" noChangeArrowheads="1"/>
        </xdr:cNvSpPr>
      </xdr:nvSpPr>
      <xdr:spPr bwMode="auto">
        <a:xfrm>
          <a:off x="1386840" y="150342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31" name="Picture 14">
          <a:extLst>
            <a:ext uri="{FF2B5EF4-FFF2-40B4-BE49-F238E27FC236}">
              <a16:creationId xmlns:a16="http://schemas.microsoft.com/office/drawing/2014/main" id="{7CA59C02-29FF-4FE3-9EAD-8188942A7A9D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32" name="Picture 92">
          <a:extLst>
            <a:ext uri="{FF2B5EF4-FFF2-40B4-BE49-F238E27FC236}">
              <a16:creationId xmlns:a16="http://schemas.microsoft.com/office/drawing/2014/main" id="{2555868D-E00F-4D01-855E-9EEAD5084999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9525" cy="9525"/>
    <xdr:sp macro="" textlink="">
      <xdr:nvSpPr>
        <xdr:cNvPr id="33" name="Picture 92">
          <a:extLst>
            <a:ext uri="{FF2B5EF4-FFF2-40B4-BE49-F238E27FC236}">
              <a16:creationId xmlns:a16="http://schemas.microsoft.com/office/drawing/2014/main" id="{57BFEA73-8D32-49B4-A69E-B5C71255D7F1}"/>
            </a:ext>
          </a:extLst>
        </xdr:cNvPr>
        <xdr:cNvSpPr>
          <a:spLocks noChangeAspect="1" noChangeArrowheads="1"/>
        </xdr:cNvSpPr>
      </xdr:nvSpPr>
      <xdr:spPr bwMode="auto">
        <a:xfrm>
          <a:off x="1386840" y="2971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-9525</xdr:colOff>
      <xdr:row>65</xdr:row>
      <xdr:rowOff>0</xdr:rowOff>
    </xdr:from>
    <xdr:ext cx="38100" cy="9525"/>
    <xdr:sp macro="" textlink="">
      <xdr:nvSpPr>
        <xdr:cNvPr id="34" name="Shape 5">
          <a:extLst>
            <a:ext uri="{FF2B5EF4-FFF2-40B4-BE49-F238E27FC236}">
              <a16:creationId xmlns:a16="http://schemas.microsoft.com/office/drawing/2014/main" id="{E6D434C6-D5E3-4767-AFD0-B212A6AE5505}"/>
            </a:ext>
          </a:extLst>
        </xdr:cNvPr>
        <xdr:cNvSpPr/>
      </xdr:nvSpPr>
      <xdr:spPr>
        <a:xfrm>
          <a:off x="1377315" y="2050542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65</xdr:row>
      <xdr:rowOff>0</xdr:rowOff>
    </xdr:from>
    <xdr:ext cx="38100" cy="9525"/>
    <xdr:sp macro="" textlink="">
      <xdr:nvSpPr>
        <xdr:cNvPr id="35" name="Shape 5">
          <a:extLst>
            <a:ext uri="{FF2B5EF4-FFF2-40B4-BE49-F238E27FC236}">
              <a16:creationId xmlns:a16="http://schemas.microsoft.com/office/drawing/2014/main" id="{76567DFB-0D6C-4A93-9865-1CFBC31E50F7}"/>
            </a:ext>
          </a:extLst>
        </xdr:cNvPr>
        <xdr:cNvSpPr/>
      </xdr:nvSpPr>
      <xdr:spPr>
        <a:xfrm>
          <a:off x="1377315" y="2050542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65</xdr:row>
      <xdr:rowOff>0</xdr:rowOff>
    </xdr:from>
    <xdr:ext cx="38100" cy="9525"/>
    <xdr:sp macro="" textlink="">
      <xdr:nvSpPr>
        <xdr:cNvPr id="36" name="Shape 5">
          <a:extLst>
            <a:ext uri="{FF2B5EF4-FFF2-40B4-BE49-F238E27FC236}">
              <a16:creationId xmlns:a16="http://schemas.microsoft.com/office/drawing/2014/main" id="{D2597138-C694-4121-997D-1924692B8CD8}"/>
            </a:ext>
          </a:extLst>
        </xdr:cNvPr>
        <xdr:cNvSpPr/>
      </xdr:nvSpPr>
      <xdr:spPr>
        <a:xfrm>
          <a:off x="1377315" y="2050542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70</xdr:row>
      <xdr:rowOff>0</xdr:rowOff>
    </xdr:from>
    <xdr:ext cx="38100" cy="9525"/>
    <xdr:sp macro="" textlink="">
      <xdr:nvSpPr>
        <xdr:cNvPr id="37" name="Shape 5">
          <a:extLst>
            <a:ext uri="{FF2B5EF4-FFF2-40B4-BE49-F238E27FC236}">
              <a16:creationId xmlns:a16="http://schemas.microsoft.com/office/drawing/2014/main" id="{068FB6A2-0613-493C-8628-7485746BCD2C}"/>
            </a:ext>
          </a:extLst>
        </xdr:cNvPr>
        <xdr:cNvSpPr/>
      </xdr:nvSpPr>
      <xdr:spPr>
        <a:xfrm>
          <a:off x="1377315" y="2222754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70</xdr:row>
      <xdr:rowOff>0</xdr:rowOff>
    </xdr:from>
    <xdr:ext cx="38100" cy="9525"/>
    <xdr:sp macro="" textlink="">
      <xdr:nvSpPr>
        <xdr:cNvPr id="38" name="Shape 5">
          <a:extLst>
            <a:ext uri="{FF2B5EF4-FFF2-40B4-BE49-F238E27FC236}">
              <a16:creationId xmlns:a16="http://schemas.microsoft.com/office/drawing/2014/main" id="{615479D4-9968-4F91-82CA-AF44FF3D4269}"/>
            </a:ext>
          </a:extLst>
        </xdr:cNvPr>
        <xdr:cNvSpPr/>
      </xdr:nvSpPr>
      <xdr:spPr>
        <a:xfrm>
          <a:off x="1377315" y="2222754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70</xdr:row>
      <xdr:rowOff>0</xdr:rowOff>
    </xdr:from>
    <xdr:ext cx="38100" cy="9525"/>
    <xdr:sp macro="" textlink="">
      <xdr:nvSpPr>
        <xdr:cNvPr id="39" name="Shape 5">
          <a:extLst>
            <a:ext uri="{FF2B5EF4-FFF2-40B4-BE49-F238E27FC236}">
              <a16:creationId xmlns:a16="http://schemas.microsoft.com/office/drawing/2014/main" id="{CD443186-729A-4EC2-A47A-17E7926B2493}"/>
            </a:ext>
          </a:extLst>
        </xdr:cNvPr>
        <xdr:cNvSpPr/>
      </xdr:nvSpPr>
      <xdr:spPr>
        <a:xfrm>
          <a:off x="1377315" y="2222754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11</xdr:row>
      <xdr:rowOff>209550</xdr:rowOff>
    </xdr:from>
    <xdr:to>
      <xdr:col>3</xdr:col>
      <xdr:colOff>209550</xdr:colOff>
      <xdr:row>11</xdr:row>
      <xdr:rowOff>219075</xdr:rowOff>
    </xdr:to>
    <xdr:sp macro="" textlink="">
      <xdr:nvSp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5200650" y="2247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0</xdr:colOff>
      <xdr:row>12</xdr:row>
      <xdr:rowOff>9525</xdr:rowOff>
    </xdr:to>
    <xdr:sp macro="" textlink="">
      <xdr:nvSp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22764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323850</xdr:colOff>
      <xdr:row>12</xdr:row>
      <xdr:rowOff>323850</xdr:rowOff>
    </xdr:to>
    <xdr:sp macro="" textlink="">
      <xdr:nvSp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000625" y="22764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0</xdr:colOff>
      <xdr:row>12</xdr:row>
      <xdr:rowOff>9525</xdr:rowOff>
    </xdr:to>
    <xdr:sp macro="" textlink="">
      <xdr:nvSpPr>
        <xdr:cNvPr id="5" name="Pictur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22764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sp macro="" textlink="">
      <xdr:nvSpPr>
        <xdr:cNvPr id="6" name="Pictur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2276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sp macro="" textlink="">
      <xdr:nvSpPr>
        <xdr:cNvPr id="7" name="Picture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2276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0</xdr:colOff>
      <xdr:row>12</xdr:row>
      <xdr:rowOff>9525</xdr:rowOff>
    </xdr:to>
    <xdr:sp macro="" textlink="">
      <xdr:nvSpPr>
        <xdr:cNvPr id="8" name="Pictur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2764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sp macro="" textlink="">
      <xdr:nvSpPr>
        <xdr:cNvPr id="9" name="Picture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7800975" y="2276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sp macro="" textlink="">
      <xdr:nvSpPr>
        <xdr:cNvPr id="10" name="Picture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76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sp macro="" textlink="">
      <xdr:nvSpPr>
        <xdr:cNvPr id="11" name="Picture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276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sp macro="" textlink="">
      <xdr:nvSpPr>
        <xdr:cNvPr id="12" name="Picture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203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0</xdr:colOff>
      <xdr:row>11</xdr:row>
      <xdr:rowOff>9525</xdr:rowOff>
    </xdr:to>
    <xdr:sp macro="" textlink="">
      <xdr:nvSpPr>
        <xdr:cNvPr id="13" name="Picture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5000625" y="20383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9525</xdr:colOff>
      <xdr:row>11</xdr:row>
      <xdr:rowOff>9525</xdr:rowOff>
    </xdr:to>
    <xdr:sp macro="" textlink="">
      <xdr:nvSpPr>
        <xdr:cNvPr id="14" name="Picture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5000625" y="203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9525</xdr:rowOff>
    </xdr:to>
    <xdr:sp macro="" textlink="">
      <xdr:nvSpPr>
        <xdr:cNvPr id="15" name="Picture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03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</xdr:colOff>
      <xdr:row>11</xdr:row>
      <xdr:rowOff>9525</xdr:rowOff>
    </xdr:to>
    <xdr:sp macro="" textlink="">
      <xdr:nvSpPr>
        <xdr:cNvPr id="16" name="Picture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038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717177</xdr:colOff>
      <xdr:row>0</xdr:row>
      <xdr:rowOff>67798</xdr:rowOff>
    </xdr:from>
    <xdr:to>
      <xdr:col>5</xdr:col>
      <xdr:colOff>373380</xdr:colOff>
      <xdr:row>5</xdr:row>
      <xdr:rowOff>67336</xdr:rowOff>
    </xdr:to>
    <xdr:pic>
      <xdr:nvPicPr>
        <xdr:cNvPr id="17" name="Imagem 28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7002" y="67798"/>
          <a:ext cx="627753" cy="952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154640</xdr:colOff>
      <xdr:row>0</xdr:row>
      <xdr:rowOff>50428</xdr:rowOff>
    </xdr:from>
    <xdr:to>
      <xdr:col>2</xdr:col>
      <xdr:colOff>414618</xdr:colOff>
      <xdr:row>4</xdr:row>
      <xdr:rowOff>116304</xdr:rowOff>
    </xdr:to>
    <xdr:pic>
      <xdr:nvPicPr>
        <xdr:cNvPr id="18" name="Imagem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240" y="50428"/>
          <a:ext cx="869578" cy="827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19" name="Picture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0</xdr:colOff>
      <xdr:row>8</xdr:row>
      <xdr:rowOff>9525</xdr:rowOff>
    </xdr:to>
    <xdr:sp macro="" textlink="">
      <xdr:nvSpPr>
        <xdr:cNvPr id="20" name="Picture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668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sp macro="" textlink="">
      <xdr:nvSpPr>
        <xdr:cNvPr id="21" name="Picture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22" name="Picture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23" name="Picture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24" name="Picture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25" name="Picture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9525</xdr:rowOff>
    </xdr:to>
    <xdr:sp macro="" textlink="">
      <xdr:nvSpPr>
        <xdr:cNvPr id="26" name="Picture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500062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27" name="Picture 2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28" name="Picture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29" name="Picture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30" name="Picture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31" name="Picture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9525</xdr:rowOff>
    </xdr:to>
    <xdr:sp macro="" textlink="">
      <xdr:nvSpPr>
        <xdr:cNvPr id="32" name="Picture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500062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33" name="Picture 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34" name="Picture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35" name="Picture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36" name="Picture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37" name="Picture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717177</xdr:colOff>
      <xdr:row>0</xdr:row>
      <xdr:rowOff>67798</xdr:rowOff>
    </xdr:from>
    <xdr:to>
      <xdr:col>5</xdr:col>
      <xdr:colOff>373380</xdr:colOff>
      <xdr:row>5</xdr:row>
      <xdr:rowOff>67336</xdr:rowOff>
    </xdr:to>
    <xdr:pic>
      <xdr:nvPicPr>
        <xdr:cNvPr id="38" name="Imagem 28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7002" y="67798"/>
          <a:ext cx="627753" cy="952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154640</xdr:colOff>
      <xdr:row>0</xdr:row>
      <xdr:rowOff>50428</xdr:rowOff>
    </xdr:from>
    <xdr:to>
      <xdr:col>2</xdr:col>
      <xdr:colOff>414618</xdr:colOff>
      <xdr:row>4</xdr:row>
      <xdr:rowOff>116304</xdr:rowOff>
    </xdr:to>
    <xdr:pic>
      <xdr:nvPicPr>
        <xdr:cNvPr id="39" name="Imagem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240" y="50428"/>
          <a:ext cx="869578" cy="827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40" name="Picture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0</xdr:colOff>
      <xdr:row>8</xdr:row>
      <xdr:rowOff>9525</xdr:rowOff>
    </xdr:to>
    <xdr:sp macro="" textlink="">
      <xdr:nvSpPr>
        <xdr:cNvPr id="41" name="Picture 2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668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sp macro="" textlink="">
      <xdr:nvSpPr>
        <xdr:cNvPr id="42" name="Picture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43" name="Picture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sp macro="" textlink="">
      <xdr:nvSpPr>
        <xdr:cNvPr id="44" name="Picture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45" name="Picture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9525" cy="9525"/>
    <xdr:sp macro="" textlink="">
      <xdr:nvSpPr>
        <xdr:cNvPr id="46" name="Picture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9525</xdr:rowOff>
    </xdr:to>
    <xdr:sp macro="" textlink="">
      <xdr:nvSpPr>
        <xdr:cNvPr id="47" name="Picture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500062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48" name="Picture 2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49" name="Picture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50" name="Picture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51" name="Picture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52" name="Picture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9525</xdr:colOff>
      <xdr:row>8</xdr:row>
      <xdr:rowOff>9525</xdr:rowOff>
    </xdr:to>
    <xdr:sp macro="" textlink="">
      <xdr:nvSpPr>
        <xdr:cNvPr id="53" name="Picture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500062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54" name="Picture 2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55" name="Picture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9525</xdr:colOff>
      <xdr:row>8</xdr:row>
      <xdr:rowOff>9525</xdr:rowOff>
    </xdr:to>
    <xdr:sp macro="" textlink="">
      <xdr:nvSpPr>
        <xdr:cNvPr id="56" name="Picture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7191375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57" name="Picture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9525</xdr:colOff>
      <xdr:row>8</xdr:row>
      <xdr:rowOff>9525</xdr:rowOff>
    </xdr:to>
    <xdr:sp macro="" textlink="">
      <xdr:nvSpPr>
        <xdr:cNvPr id="58" name="Picture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1466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61704</xdr:rowOff>
    </xdr:from>
    <xdr:to>
      <xdr:col>5</xdr:col>
      <xdr:colOff>701959</xdr:colOff>
      <xdr:row>4</xdr:row>
      <xdr:rowOff>78270</xdr:rowOff>
    </xdr:to>
    <xdr:pic>
      <xdr:nvPicPr>
        <xdr:cNvPr id="2" name="Imagem 2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61704"/>
          <a:ext cx="625759" cy="664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146678</xdr:colOff>
      <xdr:row>0</xdr:row>
      <xdr:rowOff>18638</xdr:rowOff>
    </xdr:from>
    <xdr:ext cx="779318" cy="691182"/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78" y="18638"/>
          <a:ext cx="779318" cy="69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10</xdr:row>
      <xdr:rowOff>9525</xdr:rowOff>
    </xdr:to>
    <xdr:sp macro="" textlink="">
      <xdr:nvSpPr>
        <xdr:cNvPr id="4" name="Pictur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324225" y="167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0</xdr:colOff>
      <xdr:row>10</xdr:row>
      <xdr:rowOff>9525</xdr:rowOff>
    </xdr:to>
    <xdr:sp macro="" textlink="">
      <xdr:nvSpPr>
        <xdr:cNvPr id="5" name="Picture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6764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6" name="Pictur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32422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0</xdr:colOff>
      <xdr:row>9</xdr:row>
      <xdr:rowOff>9525</xdr:rowOff>
    </xdr:to>
    <xdr:sp macro="" textlink="">
      <xdr:nvSpPr>
        <xdr:cNvPr id="7" name="Picture 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8" name="Picture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9" name="Pictur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0</xdr:colOff>
      <xdr:row>9</xdr:row>
      <xdr:rowOff>9525</xdr:rowOff>
    </xdr:to>
    <xdr:sp macro="" textlink="">
      <xdr:nvSpPr>
        <xdr:cNvPr id="10" name="Picture 2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5553075" y="14954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sp macro="" textlink="">
      <xdr:nvSpPr>
        <xdr:cNvPr id="11" name="Picture 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555307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12" name="Picture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13" name="Picture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14" name="Picture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15" name="Picture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16" name="Picture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32422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0</xdr:colOff>
      <xdr:row>9</xdr:row>
      <xdr:rowOff>9525</xdr:rowOff>
    </xdr:to>
    <xdr:sp macro="" textlink="">
      <xdr:nvSpPr>
        <xdr:cNvPr id="17" name="Picture 2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18" name="Picture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19" name="Picture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20" name="Picture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21" name="Picture 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22" name="Picture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32422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0</xdr:colOff>
      <xdr:row>9</xdr:row>
      <xdr:rowOff>9525</xdr:rowOff>
    </xdr:to>
    <xdr:sp macro="" textlink="">
      <xdr:nvSpPr>
        <xdr:cNvPr id="23" name="Picture 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24" name="Picture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25" name="Picture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26" name="Picture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27" name="Picture 1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28" name="Picture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32422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0</xdr:colOff>
      <xdr:row>9</xdr:row>
      <xdr:rowOff>9525</xdr:rowOff>
    </xdr:to>
    <xdr:sp macro="" textlink="">
      <xdr:nvSpPr>
        <xdr:cNvPr id="29" name="Picture 2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30" name="Picture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31" name="Picture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32" name="Picture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33" name="Picture 1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34" name="Picture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32422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0</xdr:colOff>
      <xdr:row>9</xdr:row>
      <xdr:rowOff>9525</xdr:rowOff>
    </xdr:to>
    <xdr:sp macro="" textlink="">
      <xdr:nvSpPr>
        <xdr:cNvPr id="35" name="Picture 2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36" name="Picture 1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37" name="Picture 1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943475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38" name="Picture 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sp macro="" textlink="">
      <xdr:nvSpPr>
        <xdr:cNvPr id="39" name="Picture 1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200025</xdr:colOff>
      <xdr:row>0</xdr:row>
      <xdr:rowOff>76200</xdr:rowOff>
    </xdr:from>
    <xdr:to>
      <xdr:col>0</xdr:col>
      <xdr:colOff>1057053</xdr:colOff>
      <xdr:row>5</xdr:row>
      <xdr:rowOff>47625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6200"/>
          <a:ext cx="85702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76200</xdr:rowOff>
    </xdr:from>
    <xdr:to>
      <xdr:col>2</xdr:col>
      <xdr:colOff>447453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76200"/>
          <a:ext cx="85702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180975</xdr:colOff>
      <xdr:row>0</xdr:row>
      <xdr:rowOff>104775</xdr:rowOff>
    </xdr:from>
    <xdr:to>
      <xdr:col>8</xdr:col>
      <xdr:colOff>554692</xdr:colOff>
      <xdr:row>3</xdr:row>
      <xdr:rowOff>179854</xdr:rowOff>
    </xdr:to>
    <xdr:pic>
      <xdr:nvPicPr>
        <xdr:cNvPr id="3" name="Imagem 2" descr="ScreenShot00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104775"/>
          <a:ext cx="983317" cy="646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FAM\Muro%20L&#225;brea\Projetos%20Muro%20Area%20alagada\arquivosemcadmurolbrea\Planilha%20Or&#231;ament&#225;ria%20-%20Campus%20L&#225;brea%20-%20Muro%20de%20Cercamento_REV_08_Rev06_COM%20AREA%20ALAG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.Orçamento Global"/>
      <sheetName val="002.Orçamento Analítico"/>
      <sheetName val="004. Cronograma Físico-Financ."/>
      <sheetName val="003. Composições Unit. novas"/>
      <sheetName val="009.MEMÓRIA DE CALC."/>
      <sheetName val="007.ANEXO I"/>
      <sheetName val="Base I"/>
      <sheetName val="Base II"/>
      <sheetName val="Resumo Levant."/>
      <sheetName val="008.ANEXO II"/>
      <sheetName val="Base 1"/>
      <sheetName val="Resumo Aço"/>
      <sheetName val="005. Leis Sociais"/>
      <sheetName val="006. BDI"/>
    </sheetNames>
    <sheetDataSet>
      <sheetData sheetId="0">
        <row r="10">
          <cell r="D10" t="str">
            <v xml:space="preserve">GERENCIAMENTO DE OBRAS/FISCALIZAÇÃO </v>
          </cell>
          <cell r="E10">
            <v>55017.36</v>
          </cell>
        </row>
        <row r="11">
          <cell r="D11" t="str">
            <v>SERVIÇOS PRELIMINARES/TÉCNICOS</v>
          </cell>
          <cell r="E11">
            <v>23521.670000000002</v>
          </cell>
        </row>
        <row r="12">
          <cell r="D12" t="str">
            <v>TRANSPORTES DE MATERIAIS</v>
          </cell>
          <cell r="E12">
            <v>36322.199999999997</v>
          </cell>
        </row>
        <row r="13">
          <cell r="D13" t="str">
            <v>MOVIMENTO DE TERRA</v>
          </cell>
          <cell r="E13">
            <v>10765.06</v>
          </cell>
        </row>
        <row r="14">
          <cell r="D14" t="str">
            <v>INFRAESTRUTURA</v>
          </cell>
          <cell r="E14">
            <v>74164.95</v>
          </cell>
        </row>
        <row r="15">
          <cell r="D15" t="str">
            <v>SAPATAS</v>
          </cell>
          <cell r="E15">
            <v>20295.45</v>
          </cell>
        </row>
        <row r="16">
          <cell r="D16" t="str">
            <v>ARRANQUE - VIGA BALDRAME</v>
          </cell>
          <cell r="E16">
            <v>53869.499999999993</v>
          </cell>
        </row>
        <row r="17">
          <cell r="D17" t="str">
            <v>SUPRAESTRUTURA</v>
          </cell>
          <cell r="E17">
            <v>88389.959999999992</v>
          </cell>
        </row>
        <row r="18">
          <cell r="D18" t="str">
            <v>VIGA COBERTURA  - PILARES</v>
          </cell>
          <cell r="E18">
            <v>88389.959999999992</v>
          </cell>
        </row>
        <row r="19">
          <cell r="D19" t="str">
            <v>ALVENARIA/VEDAÇÃO/DIVISÓRIA</v>
          </cell>
          <cell r="E19">
            <v>73757.489999999991</v>
          </cell>
        </row>
        <row r="20">
          <cell r="D20" t="str">
            <v>IMPERMEABILIZAÇÃO</v>
          </cell>
          <cell r="E20">
            <v>1738.03</v>
          </cell>
        </row>
        <row r="21">
          <cell r="D21" t="str">
            <v>REVESTIMENTOS</v>
          </cell>
          <cell r="E21">
            <v>100059.93</v>
          </cell>
        </row>
        <row r="22">
          <cell r="D22" t="str">
            <v>PINTURAS</v>
          </cell>
          <cell r="E22">
            <v>36138.07</v>
          </cell>
        </row>
        <row r="23">
          <cell r="D23" t="str">
            <v>ESQUADRIAS METÁLICAS</v>
          </cell>
          <cell r="E23">
            <v>9087.19</v>
          </cell>
        </row>
        <row r="24">
          <cell r="D24" t="str">
            <v>SERVIÇOS FINAIS</v>
          </cell>
          <cell r="E24">
            <v>2982.08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N189"/>
  <sheetViews>
    <sheetView showGridLines="0" view="pageBreakPreview" zoomScaleNormal="100" zoomScaleSheetLayoutView="100" workbookViewId="0">
      <pane xSplit="2" ySplit="9" topLeftCell="D142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6.5"/>
  <cols>
    <col min="1" max="1" width="9.140625" style="134"/>
    <col min="2" max="2" width="40.140625" style="134" hidden="1" customWidth="1"/>
    <col min="3" max="3" width="2" style="134" hidden="1" customWidth="1"/>
    <col min="4" max="4" width="6.140625" style="134" bestFit="1" customWidth="1"/>
    <col min="5" max="5" width="13.5703125" style="134" customWidth="1"/>
    <col min="6" max="6" width="56.5703125" style="134" bestFit="1" customWidth="1"/>
    <col min="7" max="7" width="9.140625" style="134"/>
    <col min="8" max="8" width="10.7109375" style="134" customWidth="1"/>
    <col min="9" max="9" width="9.140625" style="134"/>
    <col min="10" max="10" width="9.5703125" style="134" bestFit="1" customWidth="1"/>
    <col min="11" max="11" width="15.42578125" style="135" bestFit="1" customWidth="1"/>
    <col min="12" max="12" width="35.5703125" style="134" customWidth="1"/>
    <col min="13" max="14" width="10" style="134" bestFit="1" customWidth="1"/>
    <col min="15" max="16384" width="9.140625" style="134"/>
  </cols>
  <sheetData>
    <row r="1" spans="2:14" ht="5.25" customHeight="1"/>
    <row r="2" spans="2:14" s="137" customFormat="1">
      <c r="B2" s="136"/>
      <c r="C2" s="136"/>
      <c r="D2" s="136"/>
      <c r="E2" s="298" t="s">
        <v>358</v>
      </c>
      <c r="F2" s="299"/>
      <c r="G2" s="136"/>
      <c r="J2" s="145" t="s">
        <v>144</v>
      </c>
      <c r="K2" s="139" t="s">
        <v>355</v>
      </c>
    </row>
    <row r="3" spans="2:14" s="137" customFormat="1">
      <c r="B3" s="136"/>
      <c r="C3" s="136"/>
      <c r="D3" s="136"/>
      <c r="E3" s="298" t="s">
        <v>109</v>
      </c>
      <c r="F3" s="300"/>
      <c r="G3" s="136"/>
      <c r="J3" s="145" t="s">
        <v>147</v>
      </c>
      <c r="K3" s="139" t="s">
        <v>356</v>
      </c>
    </row>
    <row r="4" spans="2:14" s="137" customFormat="1">
      <c r="B4" s="136"/>
      <c r="C4" s="136"/>
      <c r="D4" s="136"/>
      <c r="E4" s="136"/>
      <c r="F4" s="140"/>
      <c r="G4" s="136"/>
      <c r="J4" s="145" t="s">
        <v>149</v>
      </c>
      <c r="K4" s="141">
        <v>1.1523000000000001</v>
      </c>
    </row>
    <row r="5" spans="2:14" s="137" customFormat="1">
      <c r="B5" s="136"/>
      <c r="C5" s="136"/>
      <c r="D5" s="136"/>
      <c r="E5" s="136"/>
      <c r="F5" s="142"/>
      <c r="G5" s="136"/>
      <c r="J5" s="145" t="s">
        <v>150</v>
      </c>
      <c r="K5" s="141">
        <v>0.72030000000000005</v>
      </c>
    </row>
    <row r="6" spans="2:14" s="137" customFormat="1">
      <c r="B6" s="136"/>
      <c r="C6" s="136"/>
      <c r="D6" s="136"/>
      <c r="E6" s="136"/>
      <c r="F6" s="142"/>
      <c r="G6" s="136"/>
      <c r="J6" s="145" t="s">
        <v>151</v>
      </c>
      <c r="K6" s="141">
        <v>0.2223</v>
      </c>
      <c r="L6" s="137" t="s">
        <v>475</v>
      </c>
    </row>
    <row r="7" spans="2:14" s="137" customFormat="1">
      <c r="B7" s="143"/>
      <c r="C7" s="143"/>
      <c r="D7" s="143"/>
      <c r="E7" s="143"/>
      <c r="F7" s="144" t="s">
        <v>152</v>
      </c>
      <c r="G7" s="143"/>
      <c r="J7" s="145" t="s">
        <v>357</v>
      </c>
      <c r="K7" s="141">
        <v>0.18079999999999999</v>
      </c>
    </row>
    <row r="8" spans="2:14" ht="9" customHeight="1">
      <c r="B8" s="143"/>
      <c r="C8" s="143"/>
      <c r="D8" s="143"/>
      <c r="E8" s="143"/>
      <c r="F8" s="143"/>
      <c r="G8" s="146"/>
      <c r="H8" s="147"/>
      <c r="I8" s="147"/>
    </row>
    <row r="9" spans="2:14" s="148" customFormat="1" ht="25.5">
      <c r="D9" s="149" t="s">
        <v>153</v>
      </c>
      <c r="E9" s="149" t="s">
        <v>19</v>
      </c>
      <c r="F9" s="150" t="s">
        <v>20</v>
      </c>
      <c r="G9" s="150" t="s">
        <v>21</v>
      </c>
      <c r="H9" s="150" t="s">
        <v>22</v>
      </c>
      <c r="I9" s="151" t="s">
        <v>154</v>
      </c>
      <c r="J9" s="151" t="s">
        <v>24</v>
      </c>
      <c r="K9" s="152" t="s">
        <v>25</v>
      </c>
    </row>
    <row r="10" spans="2:14" s="153" customFormat="1">
      <c r="D10" s="154"/>
      <c r="E10" s="283"/>
      <c r="F10" s="283" t="s">
        <v>155</v>
      </c>
      <c r="G10" s="283"/>
      <c r="H10" s="283"/>
      <c r="I10" s="283"/>
      <c r="J10" s="283"/>
      <c r="K10" s="155" t="e">
        <f>SUM(#REF!,#REF!,#REF!,#REF!,#REF!,#REF!,#REF!,#REF!,#REF!,#REF!,#REF!,#REF!)</f>
        <v>#REF!</v>
      </c>
      <c r="L10" s="156"/>
      <c r="N10" s="156"/>
    </row>
    <row r="11" spans="2:14">
      <c r="D11" s="157" t="s">
        <v>156</v>
      </c>
      <c r="E11" s="159"/>
      <c r="F11" s="158" t="s">
        <v>157</v>
      </c>
      <c r="G11" s="158"/>
      <c r="H11" s="158"/>
      <c r="I11" s="160"/>
      <c r="J11" s="160"/>
      <c r="K11" s="160" t="e">
        <f>SUM(K12:K14)</f>
        <v>#REF!</v>
      </c>
    </row>
    <row r="12" spans="2:14">
      <c r="B12" s="134" t="s">
        <v>157</v>
      </c>
      <c r="C12" s="134">
        <f>IF(G12="","",1)</f>
        <v>1</v>
      </c>
      <c r="D12" s="273" t="s">
        <v>158</v>
      </c>
      <c r="E12" s="276" t="e">
        <f>MEMÓRIA!#REF!</f>
        <v>#REF!</v>
      </c>
      <c r="F12" s="274" t="e">
        <f>MEMÓRIA!#REF!</f>
        <v>#REF!</v>
      </c>
      <c r="G12" s="275" t="s">
        <v>14</v>
      </c>
      <c r="H12" s="275" t="s">
        <v>15</v>
      </c>
      <c r="I12" s="277" t="e">
        <f>MEMÓRIA!#REF!</f>
        <v>#REF!</v>
      </c>
      <c r="J12" s="277">
        <v>22.46</v>
      </c>
      <c r="K12" s="162" t="e">
        <f>ROUNDDOWN(I12*J12,2)</f>
        <v>#REF!</v>
      </c>
    </row>
    <row r="13" spans="2:14">
      <c r="B13" s="134" t="s">
        <v>157</v>
      </c>
      <c r="C13" s="134">
        <f>IF(G13="","",1)</f>
        <v>1</v>
      </c>
      <c r="D13" s="278" t="s">
        <v>159</v>
      </c>
      <c r="E13" s="276" t="e">
        <f>MEMÓRIA!#REF!</f>
        <v>#REF!</v>
      </c>
      <c r="F13" s="274" t="e">
        <f>MEMÓRIA!#REF!</f>
        <v>#REF!</v>
      </c>
      <c r="G13" s="279" t="s">
        <v>14</v>
      </c>
      <c r="H13" s="275" t="s">
        <v>15</v>
      </c>
      <c r="I13" s="277" t="e">
        <f>MEMÓRIA!#REF!</f>
        <v>#REF!</v>
      </c>
      <c r="J13" s="285">
        <v>74.45</v>
      </c>
      <c r="K13" s="165" t="e">
        <f>ROUNDDOWN(I13*J13,2)</f>
        <v>#REF!</v>
      </c>
    </row>
    <row r="14" spans="2:14">
      <c r="B14" s="134" t="s">
        <v>157</v>
      </c>
      <c r="C14" s="134">
        <f>IF(G14="","",1)</f>
        <v>1</v>
      </c>
      <c r="D14" s="278" t="s">
        <v>160</v>
      </c>
      <c r="E14" s="276" t="e">
        <f>MEMÓRIA!#REF!</f>
        <v>#REF!</v>
      </c>
      <c r="F14" s="274" t="e">
        <f>MEMÓRIA!#REF!</f>
        <v>#REF!</v>
      </c>
      <c r="G14" s="279" t="s">
        <v>14</v>
      </c>
      <c r="H14" s="275" t="s">
        <v>15</v>
      </c>
      <c r="I14" s="277" t="e">
        <f>MEMÓRIA!#REF!</f>
        <v>#REF!</v>
      </c>
      <c r="J14" s="288">
        <v>37.22</v>
      </c>
      <c r="K14" s="165" t="e">
        <f>ROUNDDOWN(I14*J14,2)</f>
        <v>#REF!</v>
      </c>
    </row>
    <row r="15" spans="2:14">
      <c r="C15" s="134" t="str">
        <f>IF(G15="","",1)</f>
        <v/>
      </c>
      <c r="D15" s="157" t="s">
        <v>161</v>
      </c>
      <c r="E15" s="159"/>
      <c r="F15" s="158" t="s">
        <v>162</v>
      </c>
      <c r="G15" s="158"/>
      <c r="H15" s="158"/>
      <c r="I15" s="160"/>
      <c r="J15" s="160"/>
      <c r="K15" s="160" t="e">
        <f>SUM(K16:K26)</f>
        <v>#REF!</v>
      </c>
    </row>
    <row r="16" spans="2:14">
      <c r="D16" s="278" t="s">
        <v>163</v>
      </c>
      <c r="E16" s="284" t="e">
        <f>MEMÓRIA!#REF!</f>
        <v>#REF!</v>
      </c>
      <c r="F16" s="284" t="e">
        <f>MEMÓRIA!#REF!</f>
        <v>#REF!</v>
      </c>
      <c r="G16" s="279" t="s">
        <v>14</v>
      </c>
      <c r="H16" s="279" t="e">
        <f>MEMÓRIA!#REF!</f>
        <v>#REF!</v>
      </c>
      <c r="I16" s="285" t="e">
        <f>MEMÓRIA!#REF!</f>
        <v>#REF!</v>
      </c>
      <c r="J16" s="285">
        <v>30.83</v>
      </c>
      <c r="K16" s="302" t="e">
        <f t="shared" ref="K16:K32" si="0">ROUNDDOWN(I16*J16,2)</f>
        <v>#REF!</v>
      </c>
    </row>
    <row r="17" spans="2:11" ht="25.5">
      <c r="B17" s="134" t="s">
        <v>162</v>
      </c>
      <c r="C17" s="134">
        <f t="shared" ref="C17:C26" si="1">IF(G17="","",1)</f>
        <v>1</v>
      </c>
      <c r="D17" s="278" t="s">
        <v>165</v>
      </c>
      <c r="E17" s="284" t="str">
        <f>MEMÓRIA!B15</f>
        <v>CPU_MAC.001</v>
      </c>
      <c r="F17" s="284" t="str">
        <f>MEMÓRIA!C15</f>
        <v>PLACA DE OBRA EM LONA COM IMPRESSÃO DIGITAL- FORNECIMENTO E INSTALAÇÃO</v>
      </c>
      <c r="G17" s="279" t="s">
        <v>14</v>
      </c>
      <c r="H17" s="279" t="str">
        <f>MEMÓRIA!I15</f>
        <v>M2</v>
      </c>
      <c r="I17" s="285">
        <f>MEMÓRIA!H15</f>
        <v>4.8</v>
      </c>
      <c r="J17" s="164"/>
      <c r="K17" s="165">
        <f t="shared" si="0"/>
        <v>0</v>
      </c>
    </row>
    <row r="18" spans="2:11" ht="25.5">
      <c r="B18" s="134" t="s">
        <v>162</v>
      </c>
      <c r="C18" s="134">
        <f t="shared" si="1"/>
        <v>1</v>
      </c>
      <c r="D18" s="278" t="s">
        <v>166</v>
      </c>
      <c r="E18" s="284" t="str">
        <f>MEMÓRIA!B17</f>
        <v>CPU_MCR.002</v>
      </c>
      <c r="F18" s="284" t="str">
        <f>MEMÓRIA!C17</f>
        <v>TAPUME COM TELHA METÁLICA. AF_03/2024_COM ATÉ 3 REUTILIZAÇÕES</v>
      </c>
      <c r="G18" s="279" t="s">
        <v>14</v>
      </c>
      <c r="H18" s="279" t="str">
        <f>MEMÓRIA!I17</f>
        <v>M2</v>
      </c>
      <c r="I18" s="285">
        <f>MEMÓRIA!H17</f>
        <v>850.8</v>
      </c>
      <c r="J18" s="285">
        <v>56.01</v>
      </c>
      <c r="K18" s="302">
        <f t="shared" si="0"/>
        <v>47653.3</v>
      </c>
    </row>
    <row r="19" spans="2:11">
      <c r="B19" s="134" t="s">
        <v>162</v>
      </c>
      <c r="C19" s="134">
        <f t="shared" si="1"/>
        <v>1</v>
      </c>
      <c r="D19" s="278" t="s">
        <v>167</v>
      </c>
      <c r="E19" s="284" t="e">
        <f>MEMÓRIA!#REF!</f>
        <v>#REF!</v>
      </c>
      <c r="F19" s="284" t="e">
        <f>MEMÓRIA!#REF!</f>
        <v>#REF!</v>
      </c>
      <c r="G19" s="279" t="s">
        <v>14</v>
      </c>
      <c r="H19" s="279" t="e">
        <f>MEMÓRIA!#REF!</f>
        <v>#REF!</v>
      </c>
      <c r="I19" s="286" t="e">
        <f>MEMÓRIA!#REF!</f>
        <v>#REF!</v>
      </c>
      <c r="J19" s="164"/>
      <c r="K19" s="165" t="e">
        <f t="shared" si="0"/>
        <v>#REF!</v>
      </c>
    </row>
    <row r="20" spans="2:11">
      <c r="B20" s="134" t="s">
        <v>162</v>
      </c>
      <c r="C20" s="134">
        <f t="shared" si="1"/>
        <v>1</v>
      </c>
      <c r="D20" s="278" t="s">
        <v>168</v>
      </c>
      <c r="E20" s="284" t="e">
        <f>MEMÓRIA!#REF!</f>
        <v>#REF!</v>
      </c>
      <c r="F20" s="284" t="e">
        <f>MEMÓRIA!#REF!</f>
        <v>#REF!</v>
      </c>
      <c r="G20" s="279" t="s">
        <v>14</v>
      </c>
      <c r="H20" s="279" t="e">
        <f>MEMÓRIA!#REF!</f>
        <v>#REF!</v>
      </c>
      <c r="I20" s="285" t="e">
        <f>MEMÓRIA!#REF!</f>
        <v>#REF!</v>
      </c>
      <c r="J20" s="285">
        <v>544.21</v>
      </c>
      <c r="K20" s="302" t="e">
        <f t="shared" si="0"/>
        <v>#REF!</v>
      </c>
    </row>
    <row r="21" spans="2:11">
      <c r="B21" s="134" t="s">
        <v>162</v>
      </c>
      <c r="C21" s="134">
        <f t="shared" si="1"/>
        <v>1</v>
      </c>
      <c r="D21" s="278" t="s">
        <v>169</v>
      </c>
      <c r="E21" s="284" t="e">
        <f>MEMÓRIA!#REF!</f>
        <v>#REF!</v>
      </c>
      <c r="F21" s="284" t="e">
        <f>MEMÓRIA!#REF!</f>
        <v>#REF!</v>
      </c>
      <c r="G21" s="279" t="s">
        <v>14</v>
      </c>
      <c r="H21" s="279" t="e">
        <f>MEMÓRIA!#REF!</f>
        <v>#REF!</v>
      </c>
      <c r="I21" s="285" t="e">
        <f>MEMÓRIA!#REF!</f>
        <v>#REF!</v>
      </c>
      <c r="J21" s="285">
        <v>386.14</v>
      </c>
      <c r="K21" s="302" t="e">
        <f t="shared" si="0"/>
        <v>#REF!</v>
      </c>
    </row>
    <row r="22" spans="2:11">
      <c r="B22" s="134" t="s">
        <v>162</v>
      </c>
      <c r="C22" s="134">
        <f t="shared" si="1"/>
        <v>1</v>
      </c>
      <c r="D22" s="278" t="s">
        <v>170</v>
      </c>
      <c r="E22" s="284" t="e">
        <f>MEMÓRIA!#REF!</f>
        <v>#REF!</v>
      </c>
      <c r="F22" s="284" t="e">
        <f>MEMÓRIA!#REF!</f>
        <v>#REF!</v>
      </c>
      <c r="G22" s="279" t="s">
        <v>14</v>
      </c>
      <c r="H22" s="279" t="e">
        <f>MEMÓRIA!#REF!</f>
        <v>#REF!</v>
      </c>
      <c r="I22" s="285" t="e">
        <f>MEMÓRIA!#REF!</f>
        <v>#REF!</v>
      </c>
      <c r="J22" s="285">
        <v>658.68</v>
      </c>
      <c r="K22" s="302" t="e">
        <f t="shared" si="0"/>
        <v>#REF!</v>
      </c>
    </row>
    <row r="23" spans="2:11">
      <c r="B23" s="134" t="s">
        <v>162</v>
      </c>
      <c r="C23" s="134">
        <f t="shared" si="1"/>
        <v>1</v>
      </c>
      <c r="D23" s="278" t="s">
        <v>171</v>
      </c>
      <c r="E23" s="284">
        <f>MEMÓRIA!B72</f>
        <v>0</v>
      </c>
      <c r="F23" s="284">
        <f>MEMÓRIA!C72</f>
        <v>0</v>
      </c>
      <c r="G23" s="279" t="s">
        <v>14</v>
      </c>
      <c r="H23" s="279">
        <f>MEMÓRIA!I72</f>
        <v>0</v>
      </c>
      <c r="I23" s="285">
        <f>MEMÓRIA!H72</f>
        <v>0</v>
      </c>
      <c r="J23" s="285">
        <v>200.46</v>
      </c>
      <c r="K23" s="302">
        <f t="shared" si="0"/>
        <v>0</v>
      </c>
    </row>
    <row r="24" spans="2:11">
      <c r="B24" s="134" t="s">
        <v>162</v>
      </c>
      <c r="C24" s="134">
        <f t="shared" si="1"/>
        <v>1</v>
      </c>
      <c r="D24" s="278" t="s">
        <v>172</v>
      </c>
      <c r="E24" s="284">
        <f>MEMÓRIA!B79</f>
        <v>0</v>
      </c>
      <c r="F24" s="284">
        <f>MEMÓRIA!C79</f>
        <v>0</v>
      </c>
      <c r="G24" s="279" t="s">
        <v>14</v>
      </c>
      <c r="H24" s="279">
        <f>MEMÓRIA!I79</f>
        <v>0</v>
      </c>
      <c r="I24" s="285">
        <f>MEMÓRIA!H79</f>
        <v>0</v>
      </c>
      <c r="J24" s="285">
        <v>328.59</v>
      </c>
      <c r="K24" s="302">
        <f t="shared" si="0"/>
        <v>0</v>
      </c>
    </row>
    <row r="25" spans="2:11">
      <c r="B25" s="134" t="s">
        <v>162</v>
      </c>
      <c r="C25" s="134">
        <f t="shared" si="1"/>
        <v>1</v>
      </c>
      <c r="D25" s="278" t="s">
        <v>173</v>
      </c>
      <c r="E25" s="284" t="e">
        <f>MEMÓRIA!#REF!</f>
        <v>#REF!</v>
      </c>
      <c r="F25" s="284" t="e">
        <f>MEMÓRIA!#REF!</f>
        <v>#REF!</v>
      </c>
      <c r="G25" s="279" t="s">
        <v>14</v>
      </c>
      <c r="H25" s="279" t="e">
        <f>MEMÓRIA!#REF!</f>
        <v>#REF!</v>
      </c>
      <c r="I25" s="285" t="e">
        <f>MEMÓRIA!#REF!</f>
        <v>#REF!</v>
      </c>
      <c r="J25" s="164"/>
      <c r="K25" s="165" t="e">
        <f t="shared" si="0"/>
        <v>#REF!</v>
      </c>
    </row>
    <row r="26" spans="2:11">
      <c r="B26" s="134" t="s">
        <v>162</v>
      </c>
      <c r="C26" s="134">
        <f t="shared" si="1"/>
        <v>1</v>
      </c>
      <c r="D26" s="278" t="s">
        <v>174</v>
      </c>
      <c r="E26" s="284" t="e">
        <f>MEMÓRIA!#REF!</f>
        <v>#REF!</v>
      </c>
      <c r="F26" s="284" t="e">
        <f>MEMÓRIA!#REF!</f>
        <v>#REF!</v>
      </c>
      <c r="G26" s="279" t="s">
        <v>14</v>
      </c>
      <c r="H26" s="279" t="e">
        <f>MEMÓRIA!#REF!</f>
        <v>#REF!</v>
      </c>
      <c r="I26" s="285" t="e">
        <f>MEMÓRIA!#REF!</f>
        <v>#REF!</v>
      </c>
      <c r="J26" s="164"/>
      <c r="K26" s="165" t="e">
        <f t="shared" si="0"/>
        <v>#REF!</v>
      </c>
    </row>
    <row r="27" spans="2:11">
      <c r="B27" s="134" t="s">
        <v>162</v>
      </c>
      <c r="C27" s="134">
        <v>1</v>
      </c>
      <c r="D27" s="157" t="s">
        <v>177</v>
      </c>
      <c r="E27" s="159"/>
      <c r="F27" s="158" t="s">
        <v>35</v>
      </c>
      <c r="G27" s="158"/>
      <c r="H27" s="158"/>
      <c r="I27" s="160"/>
      <c r="J27" s="160"/>
      <c r="K27" s="160" t="e">
        <f>SUM(K28)</f>
        <v>#REF!</v>
      </c>
    </row>
    <row r="28" spans="2:11">
      <c r="B28" s="134" t="s">
        <v>162</v>
      </c>
      <c r="C28" s="134">
        <v>1</v>
      </c>
      <c r="D28" s="278" t="s">
        <v>359</v>
      </c>
      <c r="E28" s="284" t="e">
        <f>MEMÓRIA!#REF!</f>
        <v>#REF!</v>
      </c>
      <c r="F28" s="284" t="e">
        <f>MEMÓRIA!#REF!</f>
        <v>#REF!</v>
      </c>
      <c r="G28" s="279" t="s">
        <v>14</v>
      </c>
      <c r="H28" s="279" t="e">
        <f>MEMÓRIA!#REF!</f>
        <v>#REF!</v>
      </c>
      <c r="I28" s="286" t="e">
        <f>MEMÓRIA!#REF!</f>
        <v>#REF!</v>
      </c>
      <c r="J28" s="166"/>
      <c r="K28" s="165" t="e">
        <f t="shared" si="0"/>
        <v>#REF!</v>
      </c>
    </row>
    <row r="29" spans="2:11">
      <c r="C29" s="134" t="str">
        <f>IF(G29="","",1)</f>
        <v/>
      </c>
      <c r="D29" s="157" t="s">
        <v>179</v>
      </c>
      <c r="E29" s="159"/>
      <c r="F29" s="158" t="s">
        <v>35</v>
      </c>
      <c r="G29" s="158"/>
      <c r="H29" s="158"/>
      <c r="I29" s="160"/>
      <c r="J29" s="160"/>
      <c r="K29" s="160" t="e">
        <f>SUM(K30:K32)</f>
        <v>#REF!</v>
      </c>
    </row>
    <row r="30" spans="2:11">
      <c r="B30" s="134" t="s">
        <v>178</v>
      </c>
      <c r="C30" s="134">
        <v>1</v>
      </c>
      <c r="D30" s="278" t="s">
        <v>360</v>
      </c>
      <c r="E30" s="284" t="e">
        <f>MEMÓRIA!#REF!</f>
        <v>#REF!</v>
      </c>
      <c r="F30" s="284" t="e">
        <f>MEMÓRIA!#REF!</f>
        <v>#REF!</v>
      </c>
      <c r="G30" s="163" t="s">
        <v>14</v>
      </c>
      <c r="H30" s="279" t="e">
        <f>MEMÓRIA!#REF!</f>
        <v>#REF!</v>
      </c>
      <c r="I30" s="285" t="e">
        <f>MEMÓRIA!#REF!</f>
        <v>#REF!</v>
      </c>
      <c r="J30" s="164">
        <v>64.98</v>
      </c>
      <c r="K30" s="165" t="e">
        <f t="shared" si="0"/>
        <v>#REF!</v>
      </c>
    </row>
    <row r="31" spans="2:11">
      <c r="B31" s="134" t="s">
        <v>178</v>
      </c>
      <c r="C31" s="134">
        <v>1</v>
      </c>
      <c r="D31" s="278" t="s">
        <v>361</v>
      </c>
      <c r="E31" s="284" t="e">
        <f>MEMÓRIA!#REF!</f>
        <v>#REF!</v>
      </c>
      <c r="F31" s="284" t="e">
        <f>MEMÓRIA!#REF!</f>
        <v>#REF!</v>
      </c>
      <c r="G31" s="163" t="s">
        <v>14</v>
      </c>
      <c r="H31" s="279" t="e">
        <f>MEMÓRIA!#REF!</f>
        <v>#REF!</v>
      </c>
      <c r="I31" s="285" t="e">
        <f>MEMÓRIA!#REF!</f>
        <v>#REF!</v>
      </c>
      <c r="J31" s="161">
        <v>85.37</v>
      </c>
      <c r="K31" s="162" t="e">
        <f t="shared" si="0"/>
        <v>#REF!</v>
      </c>
    </row>
    <row r="32" spans="2:11">
      <c r="B32" s="134" t="s">
        <v>178</v>
      </c>
      <c r="C32" s="134">
        <v>1</v>
      </c>
      <c r="D32" s="278" t="s">
        <v>362</v>
      </c>
      <c r="E32" s="284" t="e">
        <f>MEMÓRIA!#REF!</f>
        <v>#REF!</v>
      </c>
      <c r="F32" s="284" t="e">
        <f>MEMÓRIA!#REF!</f>
        <v>#REF!</v>
      </c>
      <c r="G32" s="163" t="s">
        <v>14</v>
      </c>
      <c r="H32" s="279" t="e">
        <f>MEMÓRIA!#REF!</f>
        <v>#REF!</v>
      </c>
      <c r="I32" s="285" t="e">
        <f>MEMÓRIA!#REF!</f>
        <v>#REF!</v>
      </c>
      <c r="J32" s="161">
        <v>25.54</v>
      </c>
      <c r="K32" s="162" t="e">
        <f t="shared" si="0"/>
        <v>#REF!</v>
      </c>
    </row>
    <row r="33" spans="2:13">
      <c r="C33" s="134" t="str">
        <f>IF(G33="","",1)</f>
        <v/>
      </c>
      <c r="D33" s="157" t="s">
        <v>180</v>
      </c>
      <c r="E33" s="159"/>
      <c r="F33" s="158" t="s">
        <v>11</v>
      </c>
      <c r="G33" s="158"/>
      <c r="H33" s="158"/>
      <c r="I33" s="160"/>
      <c r="J33" s="160"/>
      <c r="K33" s="160" t="e">
        <f>SUM(K34,K45)</f>
        <v>#REF!</v>
      </c>
    </row>
    <row r="34" spans="2:13">
      <c r="D34" s="157" t="s">
        <v>181</v>
      </c>
      <c r="E34" s="159"/>
      <c r="F34" s="158" t="s">
        <v>182</v>
      </c>
      <c r="G34" s="158"/>
      <c r="H34" s="158"/>
      <c r="I34" s="160"/>
      <c r="J34" s="160"/>
      <c r="K34" s="160" t="e">
        <f>SUM(K35:K44)</f>
        <v>#REF!</v>
      </c>
    </row>
    <row r="35" spans="2:13">
      <c r="B35" s="134" t="s">
        <v>182</v>
      </c>
      <c r="C35" s="134">
        <v>1</v>
      </c>
      <c r="D35" s="278" t="s">
        <v>183</v>
      </c>
      <c r="E35" s="279" t="e">
        <f>MEMÓRIA!#REF!</f>
        <v>#REF!</v>
      </c>
      <c r="F35" s="284" t="e">
        <f>MEMÓRIA!#REF!</f>
        <v>#REF!</v>
      </c>
      <c r="G35" s="163" t="s">
        <v>14</v>
      </c>
      <c r="H35" s="279" t="e">
        <f>MEMÓRIA!#REF!</f>
        <v>#REF!</v>
      </c>
      <c r="I35" s="285" t="e">
        <f>MEMÓRIA!#REF!</f>
        <v>#REF!</v>
      </c>
      <c r="J35" s="164"/>
      <c r="K35" s="165" t="e">
        <f t="shared" ref="K35:K44" si="2">ROUNDDOWN(I35*J35,2)</f>
        <v>#REF!</v>
      </c>
      <c r="M35" s="672" t="s">
        <v>31</v>
      </c>
    </row>
    <row r="36" spans="2:13">
      <c r="B36" s="134" t="s">
        <v>182</v>
      </c>
      <c r="C36" s="134">
        <v>1</v>
      </c>
      <c r="D36" s="278" t="s">
        <v>184</v>
      </c>
      <c r="E36" s="279" t="e">
        <f>MEMÓRIA!#REF!</f>
        <v>#REF!</v>
      </c>
      <c r="F36" s="284" t="e">
        <f>MEMÓRIA!#REF!</f>
        <v>#REF!</v>
      </c>
      <c r="G36" s="163" t="s">
        <v>14</v>
      </c>
      <c r="H36" s="279" t="e">
        <f>MEMÓRIA!#REF!</f>
        <v>#REF!</v>
      </c>
      <c r="I36" s="285" t="e">
        <f>MEMÓRIA!#REF!</f>
        <v>#REF!</v>
      </c>
      <c r="J36" s="164">
        <v>7.72</v>
      </c>
      <c r="K36" s="165" t="e">
        <f t="shared" si="2"/>
        <v>#REF!</v>
      </c>
      <c r="M36" s="672"/>
    </row>
    <row r="37" spans="2:13">
      <c r="B37" s="134" t="s">
        <v>182</v>
      </c>
      <c r="C37" s="134">
        <v>1</v>
      </c>
      <c r="D37" s="278" t="s">
        <v>185</v>
      </c>
      <c r="E37" s="279" t="e">
        <f>MEMÓRIA!#REF!</f>
        <v>#REF!</v>
      </c>
      <c r="F37" s="284" t="e">
        <f>MEMÓRIA!#REF!</f>
        <v>#REF!</v>
      </c>
      <c r="G37" s="163" t="s">
        <v>14</v>
      </c>
      <c r="H37" s="279" t="e">
        <f>MEMÓRIA!#REF!</f>
        <v>#REF!</v>
      </c>
      <c r="I37" s="285" t="e">
        <f>MEMÓRIA!#REF!</f>
        <v>#REF!</v>
      </c>
      <c r="J37" s="164">
        <v>11.67</v>
      </c>
      <c r="K37" s="165" t="e">
        <f t="shared" si="2"/>
        <v>#REF!</v>
      </c>
      <c r="M37" s="672"/>
    </row>
    <row r="38" spans="2:13">
      <c r="B38" s="134" t="s">
        <v>182</v>
      </c>
      <c r="C38" s="134">
        <v>1</v>
      </c>
      <c r="D38" s="278" t="s">
        <v>186</v>
      </c>
      <c r="E38" s="279" t="e">
        <f>MEMÓRIA!#REF!</f>
        <v>#REF!</v>
      </c>
      <c r="F38" s="284" t="e">
        <f>MEMÓRIA!#REF!</f>
        <v>#REF!</v>
      </c>
      <c r="G38" s="163" t="s">
        <v>14</v>
      </c>
      <c r="H38" s="279" t="e">
        <f>MEMÓRIA!#REF!</f>
        <v>#REF!</v>
      </c>
      <c r="I38" s="285" t="e">
        <f>MEMÓRIA!#REF!</f>
        <v>#REF!</v>
      </c>
      <c r="J38" s="164">
        <v>23.95</v>
      </c>
      <c r="K38" s="165" t="e">
        <f t="shared" si="2"/>
        <v>#REF!</v>
      </c>
      <c r="M38" s="672"/>
    </row>
    <row r="39" spans="2:13">
      <c r="B39" s="134" t="s">
        <v>182</v>
      </c>
      <c r="C39" s="134">
        <v>1</v>
      </c>
      <c r="D39" s="278" t="s">
        <v>187</v>
      </c>
      <c r="E39" s="279" t="e">
        <f>MEMÓRIA!#REF!</f>
        <v>#REF!</v>
      </c>
      <c r="F39" s="284" t="e">
        <f>MEMÓRIA!#REF!</f>
        <v>#REF!</v>
      </c>
      <c r="G39" s="163" t="s">
        <v>14</v>
      </c>
      <c r="H39" s="279" t="e">
        <f>MEMÓRIA!#REF!</f>
        <v>#REF!</v>
      </c>
      <c r="I39" s="285" t="e">
        <f>MEMÓRIA!#REF!</f>
        <v>#REF!</v>
      </c>
      <c r="J39" s="164">
        <v>46.75</v>
      </c>
      <c r="K39" s="165" t="e">
        <f t="shared" si="2"/>
        <v>#REF!</v>
      </c>
      <c r="M39" s="672"/>
    </row>
    <row r="40" spans="2:13">
      <c r="D40" s="278" t="s">
        <v>363</v>
      </c>
      <c r="E40" s="279" t="e">
        <f>MEMÓRIA!#REF!</f>
        <v>#REF!</v>
      </c>
      <c r="F40" s="284" t="e">
        <f>MEMÓRIA!#REF!</f>
        <v>#REF!</v>
      </c>
      <c r="G40" s="163" t="s">
        <v>14</v>
      </c>
      <c r="H40" s="279" t="e">
        <f>MEMÓRIA!#REF!</f>
        <v>#REF!</v>
      </c>
      <c r="I40" s="285" t="e">
        <f>MEMÓRIA!#REF!</f>
        <v>#REF!</v>
      </c>
      <c r="J40" s="164">
        <v>10.72</v>
      </c>
      <c r="K40" s="165" t="e">
        <f t="shared" si="2"/>
        <v>#REF!</v>
      </c>
      <c r="M40" s="287"/>
    </row>
    <row r="41" spans="2:13">
      <c r="D41" s="278" t="s">
        <v>364</v>
      </c>
      <c r="E41" s="279" t="e">
        <f>MEMÓRIA!#REF!</f>
        <v>#REF!</v>
      </c>
      <c r="F41" s="284" t="e">
        <f>MEMÓRIA!#REF!</f>
        <v>#REF!</v>
      </c>
      <c r="G41" s="163" t="s">
        <v>14</v>
      </c>
      <c r="H41" s="279" t="e">
        <f>MEMÓRIA!#REF!</f>
        <v>#REF!</v>
      </c>
      <c r="I41" s="285" t="e">
        <f>MEMÓRIA!#REF!</f>
        <v>#REF!</v>
      </c>
      <c r="J41" s="164">
        <v>8.48</v>
      </c>
      <c r="K41" s="165" t="e">
        <f t="shared" si="2"/>
        <v>#REF!</v>
      </c>
      <c r="M41" s="287"/>
    </row>
    <row r="42" spans="2:13">
      <c r="D42" s="278" t="s">
        <v>365</v>
      </c>
      <c r="E42" s="279" t="e">
        <f>MEMÓRIA!#REF!</f>
        <v>#REF!</v>
      </c>
      <c r="F42" s="284" t="e">
        <f>MEMÓRIA!#REF!</f>
        <v>#REF!</v>
      </c>
      <c r="G42" s="163" t="s">
        <v>14</v>
      </c>
      <c r="H42" s="279" t="e">
        <f>MEMÓRIA!#REF!</f>
        <v>#REF!</v>
      </c>
      <c r="I42" s="285" t="e">
        <f>MEMÓRIA!#REF!</f>
        <v>#REF!</v>
      </c>
      <c r="J42" s="164">
        <v>94.45</v>
      </c>
      <c r="K42" s="165" t="e">
        <f t="shared" si="2"/>
        <v>#REF!</v>
      </c>
      <c r="M42" s="287"/>
    </row>
    <row r="43" spans="2:13">
      <c r="D43" s="278" t="s">
        <v>366</v>
      </c>
      <c r="E43" s="279" t="e">
        <f>MEMÓRIA!#REF!</f>
        <v>#REF!</v>
      </c>
      <c r="F43" s="284" t="e">
        <f>MEMÓRIA!#REF!</f>
        <v>#REF!</v>
      </c>
      <c r="G43" s="163" t="s">
        <v>14</v>
      </c>
      <c r="H43" s="279" t="e">
        <f>MEMÓRIA!#REF!</f>
        <v>#REF!</v>
      </c>
      <c r="I43" s="285" t="e">
        <f>MEMÓRIA!#REF!</f>
        <v>#REF!</v>
      </c>
      <c r="J43" s="164">
        <v>400.17</v>
      </c>
      <c r="K43" s="165" t="e">
        <f t="shared" si="2"/>
        <v>#REF!</v>
      </c>
      <c r="M43" s="287"/>
    </row>
    <row r="44" spans="2:13">
      <c r="D44" s="278" t="s">
        <v>367</v>
      </c>
      <c r="E44" s="279" t="e">
        <f>MEMÓRIA!#REF!</f>
        <v>#REF!</v>
      </c>
      <c r="F44" s="284" t="e">
        <f>MEMÓRIA!#REF!</f>
        <v>#REF!</v>
      </c>
      <c r="G44" s="163" t="s">
        <v>14</v>
      </c>
      <c r="H44" s="279" t="e">
        <f>MEMÓRIA!#REF!</f>
        <v>#REF!</v>
      </c>
      <c r="I44" s="285" t="e">
        <f>MEMÓRIA!#REF!</f>
        <v>#REF!</v>
      </c>
      <c r="J44" s="164">
        <v>18.37</v>
      </c>
      <c r="K44" s="165" t="e">
        <f t="shared" si="2"/>
        <v>#REF!</v>
      </c>
      <c r="M44" s="287"/>
    </row>
    <row r="45" spans="2:13">
      <c r="C45" s="134" t="str">
        <f>IF(G45="","",1)</f>
        <v/>
      </c>
      <c r="D45" s="157" t="s">
        <v>188</v>
      </c>
      <c r="E45" s="159"/>
      <c r="F45" s="158" t="s">
        <v>34</v>
      </c>
      <c r="G45" s="158"/>
      <c r="H45" s="158"/>
      <c r="I45" s="160"/>
      <c r="J45" s="160"/>
      <c r="K45" s="160" t="e">
        <f>SUM(K46:K57)</f>
        <v>#REF!</v>
      </c>
    </row>
    <row r="46" spans="2:13">
      <c r="B46" s="134" t="s">
        <v>34</v>
      </c>
      <c r="C46" s="134">
        <v>1</v>
      </c>
      <c r="D46" s="278" t="s">
        <v>189</v>
      </c>
      <c r="E46" s="279" t="e">
        <f>MEMÓRIA!#REF!</f>
        <v>#REF!</v>
      </c>
      <c r="F46" s="284" t="e">
        <f>MEMÓRIA!#REF!</f>
        <v>#REF!</v>
      </c>
      <c r="G46" s="163" t="s">
        <v>14</v>
      </c>
      <c r="H46" s="279" t="e">
        <f>MEMÓRIA!#REF!</f>
        <v>#REF!</v>
      </c>
      <c r="I46" s="285" t="e">
        <f>MEMÓRIA!#REF!</f>
        <v>#REF!</v>
      </c>
      <c r="J46" s="164">
        <v>23.95</v>
      </c>
      <c r="K46" s="165" t="e">
        <f t="shared" ref="K46:K57" si="3">ROUNDDOWN(I46*J46,2)</f>
        <v>#REF!</v>
      </c>
      <c r="M46" s="672" t="s">
        <v>31</v>
      </c>
    </row>
    <row r="47" spans="2:13">
      <c r="B47" s="134" t="s">
        <v>34</v>
      </c>
      <c r="C47" s="134">
        <v>1</v>
      </c>
      <c r="D47" s="278" t="s">
        <v>190</v>
      </c>
      <c r="E47" s="279" t="e">
        <f>MEMÓRIA!#REF!</f>
        <v>#REF!</v>
      </c>
      <c r="F47" s="284" t="e">
        <f>MEMÓRIA!#REF!</f>
        <v>#REF!</v>
      </c>
      <c r="G47" s="163" t="s">
        <v>14</v>
      </c>
      <c r="H47" s="279" t="e">
        <f>MEMÓRIA!#REF!</f>
        <v>#REF!</v>
      </c>
      <c r="I47" s="285" t="e">
        <f>MEMÓRIA!#REF!</f>
        <v>#REF!</v>
      </c>
      <c r="J47" s="164">
        <v>64</v>
      </c>
      <c r="K47" s="165" t="e">
        <f t="shared" si="3"/>
        <v>#REF!</v>
      </c>
      <c r="M47" s="672"/>
    </row>
    <row r="48" spans="2:13">
      <c r="B48" s="134" t="s">
        <v>34</v>
      </c>
      <c r="C48" s="134">
        <v>1</v>
      </c>
      <c r="D48" s="278" t="s">
        <v>191</v>
      </c>
      <c r="E48" s="279" t="e">
        <f>MEMÓRIA!#REF!</f>
        <v>#REF!</v>
      </c>
      <c r="F48" s="284" t="e">
        <f>MEMÓRIA!#REF!</f>
        <v>#REF!</v>
      </c>
      <c r="G48" s="163" t="s">
        <v>14</v>
      </c>
      <c r="H48" s="279" t="e">
        <f>MEMÓRIA!#REF!</f>
        <v>#REF!</v>
      </c>
      <c r="I48" s="285" t="e">
        <f>MEMÓRIA!#REF!</f>
        <v>#REF!</v>
      </c>
      <c r="J48" s="164">
        <v>39.54</v>
      </c>
      <c r="K48" s="165" t="e">
        <f t="shared" si="3"/>
        <v>#REF!</v>
      </c>
      <c r="M48" s="672"/>
    </row>
    <row r="49" spans="2:13">
      <c r="B49" s="134" t="s">
        <v>34</v>
      </c>
      <c r="C49" s="134">
        <v>1</v>
      </c>
      <c r="D49" s="278" t="s">
        <v>192</v>
      </c>
      <c r="E49" s="279" t="e">
        <f>MEMÓRIA!#REF!</f>
        <v>#REF!</v>
      </c>
      <c r="F49" s="284" t="e">
        <f>MEMÓRIA!#REF!</f>
        <v>#REF!</v>
      </c>
      <c r="G49" s="163" t="s">
        <v>14</v>
      </c>
      <c r="H49" s="279" t="e">
        <f>MEMÓRIA!#REF!</f>
        <v>#REF!</v>
      </c>
      <c r="I49" s="285" t="e">
        <f>MEMÓRIA!#REF!</f>
        <v>#REF!</v>
      </c>
      <c r="J49" s="164">
        <v>12.37</v>
      </c>
      <c r="K49" s="165" t="e">
        <f t="shared" si="3"/>
        <v>#REF!</v>
      </c>
      <c r="M49" s="672"/>
    </row>
    <row r="50" spans="2:13">
      <c r="B50" s="134" t="s">
        <v>34</v>
      </c>
      <c r="C50" s="134">
        <v>1</v>
      </c>
      <c r="D50" s="278" t="s">
        <v>193</v>
      </c>
      <c r="E50" s="279" t="e">
        <f>MEMÓRIA!#REF!</f>
        <v>#REF!</v>
      </c>
      <c r="F50" s="284" t="e">
        <f>MEMÓRIA!#REF!</f>
        <v>#REF!</v>
      </c>
      <c r="G50" s="163" t="s">
        <v>14</v>
      </c>
      <c r="H50" s="279" t="e">
        <f>MEMÓRIA!#REF!</f>
        <v>#REF!</v>
      </c>
      <c r="I50" s="285" t="e">
        <f>MEMÓRIA!#REF!</f>
        <v>#REF!</v>
      </c>
      <c r="J50" s="164">
        <v>8.44</v>
      </c>
      <c r="K50" s="165" t="e">
        <f t="shared" si="3"/>
        <v>#REF!</v>
      </c>
      <c r="M50" s="672"/>
    </row>
    <row r="51" spans="2:13">
      <c r="B51" s="134" t="s">
        <v>34</v>
      </c>
      <c r="C51" s="134">
        <v>1</v>
      </c>
      <c r="D51" s="278" t="s">
        <v>194</v>
      </c>
      <c r="E51" s="279" t="e">
        <f>MEMÓRIA!#REF!</f>
        <v>#REF!</v>
      </c>
      <c r="F51" s="284" t="e">
        <f>MEMÓRIA!#REF!</f>
        <v>#REF!</v>
      </c>
      <c r="G51" s="163" t="s">
        <v>14</v>
      </c>
      <c r="H51" s="279" t="e">
        <f>MEMÓRIA!#REF!</f>
        <v>#REF!</v>
      </c>
      <c r="I51" s="285" t="e">
        <f>MEMÓRIA!#REF!</f>
        <v>#REF!</v>
      </c>
      <c r="J51" s="164">
        <v>12.29</v>
      </c>
      <c r="K51" s="165" t="e">
        <f t="shared" si="3"/>
        <v>#REF!</v>
      </c>
      <c r="M51" s="672"/>
    </row>
    <row r="52" spans="2:13">
      <c r="B52" s="134" t="s">
        <v>34</v>
      </c>
      <c r="C52" s="134">
        <v>1</v>
      </c>
      <c r="D52" s="278" t="s">
        <v>195</v>
      </c>
      <c r="E52" s="279" t="e">
        <f>MEMÓRIA!#REF!</f>
        <v>#REF!</v>
      </c>
      <c r="F52" s="284" t="e">
        <f>MEMÓRIA!#REF!</f>
        <v>#REF!</v>
      </c>
      <c r="G52" s="163" t="s">
        <v>14</v>
      </c>
      <c r="H52" s="279" t="e">
        <f>MEMÓRIA!#REF!</f>
        <v>#REF!</v>
      </c>
      <c r="I52" s="285" t="e">
        <f>MEMÓRIA!#REF!</f>
        <v>#REF!</v>
      </c>
      <c r="J52" s="164">
        <v>10.72</v>
      </c>
      <c r="K52" s="165" t="e">
        <f t="shared" si="3"/>
        <v>#REF!</v>
      </c>
      <c r="M52" s="672"/>
    </row>
    <row r="53" spans="2:13">
      <c r="B53" s="134" t="s">
        <v>34</v>
      </c>
      <c r="C53" s="134">
        <v>1</v>
      </c>
      <c r="D53" s="278" t="s">
        <v>196</v>
      </c>
      <c r="E53" s="279" t="e">
        <f>MEMÓRIA!#REF!</f>
        <v>#REF!</v>
      </c>
      <c r="F53" s="284" t="e">
        <f>MEMÓRIA!#REF!</f>
        <v>#REF!</v>
      </c>
      <c r="G53" s="163" t="s">
        <v>14</v>
      </c>
      <c r="H53" s="279" t="e">
        <f>MEMÓRIA!#REF!</f>
        <v>#REF!</v>
      </c>
      <c r="I53" s="285" t="e">
        <f>MEMÓRIA!#REF!</f>
        <v>#REF!</v>
      </c>
      <c r="J53" s="164">
        <v>10.39</v>
      </c>
      <c r="K53" s="165" t="e">
        <f t="shared" si="3"/>
        <v>#REF!</v>
      </c>
      <c r="M53" s="672"/>
    </row>
    <row r="54" spans="2:13">
      <c r="D54" s="278" t="s">
        <v>368</v>
      </c>
      <c r="E54" s="279" t="e">
        <f>MEMÓRIA!#REF!</f>
        <v>#REF!</v>
      </c>
      <c r="F54" s="284" t="e">
        <f>MEMÓRIA!#REF!</f>
        <v>#REF!</v>
      </c>
      <c r="G54" s="163" t="s">
        <v>14</v>
      </c>
      <c r="H54" s="279" t="e">
        <f>MEMÓRIA!#REF!</f>
        <v>#REF!</v>
      </c>
      <c r="I54" s="285" t="e">
        <f>MEMÓRIA!#REF!</f>
        <v>#REF!</v>
      </c>
      <c r="J54" s="164">
        <v>8.48</v>
      </c>
      <c r="K54" s="165" t="e">
        <f t="shared" si="3"/>
        <v>#REF!</v>
      </c>
      <c r="M54" s="287"/>
    </row>
    <row r="55" spans="2:13">
      <c r="D55" s="278" t="s">
        <v>369</v>
      </c>
      <c r="E55" s="279" t="e">
        <f>MEMÓRIA!#REF!</f>
        <v>#REF!</v>
      </c>
      <c r="F55" s="284" t="e">
        <f>MEMÓRIA!#REF!</f>
        <v>#REF!</v>
      </c>
      <c r="G55" s="163" t="s">
        <v>14</v>
      </c>
      <c r="H55" s="279" t="e">
        <f>MEMÓRIA!#REF!</f>
        <v>#REF!</v>
      </c>
      <c r="I55" s="285" t="e">
        <f>MEMÓRIA!#REF!</f>
        <v>#REF!</v>
      </c>
      <c r="J55" s="164">
        <v>7.58</v>
      </c>
      <c r="K55" s="165" t="e">
        <f t="shared" si="3"/>
        <v>#REF!</v>
      </c>
      <c r="M55" s="287"/>
    </row>
    <row r="56" spans="2:13">
      <c r="D56" s="278" t="s">
        <v>370</v>
      </c>
      <c r="E56" s="279" t="e">
        <f>MEMÓRIA!#REF!</f>
        <v>#REF!</v>
      </c>
      <c r="F56" s="284" t="e">
        <f>MEMÓRIA!#REF!</f>
        <v>#REF!</v>
      </c>
      <c r="G56" s="163" t="s">
        <v>14</v>
      </c>
      <c r="H56" s="279" t="e">
        <f>MEMÓRIA!#REF!</f>
        <v>#REF!</v>
      </c>
      <c r="I56" s="285" t="e">
        <f>MEMÓRIA!#REF!</f>
        <v>#REF!</v>
      </c>
      <c r="J56" s="164">
        <v>94.45</v>
      </c>
      <c r="K56" s="165" t="e">
        <f t="shared" si="3"/>
        <v>#REF!</v>
      </c>
      <c r="M56" s="287"/>
    </row>
    <row r="57" spans="2:13">
      <c r="D57" s="278" t="s">
        <v>371</v>
      </c>
      <c r="E57" s="279" t="e">
        <f>MEMÓRIA!#REF!</f>
        <v>#REF!</v>
      </c>
      <c r="F57" s="284" t="e">
        <f>MEMÓRIA!#REF!</f>
        <v>#REF!</v>
      </c>
      <c r="G57" s="163" t="s">
        <v>14</v>
      </c>
      <c r="H57" s="279" t="e">
        <f>MEMÓRIA!#REF!</f>
        <v>#REF!</v>
      </c>
      <c r="I57" s="285" t="e">
        <f>MEMÓRIA!#REF!</f>
        <v>#REF!</v>
      </c>
      <c r="J57" s="164">
        <v>400.17</v>
      </c>
      <c r="K57" s="165" t="e">
        <f t="shared" si="3"/>
        <v>#REF!</v>
      </c>
      <c r="M57" s="287"/>
    </row>
    <row r="58" spans="2:13">
      <c r="C58" s="134" t="str">
        <f>IF(G58="","",1)</f>
        <v/>
      </c>
      <c r="D58" s="157" t="s">
        <v>197</v>
      </c>
      <c r="E58" s="159"/>
      <c r="F58" s="158" t="s">
        <v>198</v>
      </c>
      <c r="G58" s="158"/>
      <c r="H58" s="158"/>
      <c r="I58" s="160"/>
      <c r="J58" s="160"/>
      <c r="K58" s="160" t="e">
        <f>SUM(K59,K69)</f>
        <v>#REF!</v>
      </c>
    </row>
    <row r="59" spans="2:13">
      <c r="C59" s="134" t="str">
        <f>IF(G59="","",1)</f>
        <v/>
      </c>
      <c r="D59" s="157" t="s">
        <v>199</v>
      </c>
      <c r="E59" s="159"/>
      <c r="F59" s="158" t="s">
        <v>200</v>
      </c>
      <c r="G59" s="158"/>
      <c r="H59" s="158"/>
      <c r="I59" s="160"/>
      <c r="J59" s="160"/>
      <c r="K59" s="160" t="e">
        <f>SUM(K60:K68)</f>
        <v>#REF!</v>
      </c>
    </row>
    <row r="60" spans="2:13">
      <c r="B60" s="134" t="s">
        <v>201</v>
      </c>
      <c r="C60" s="134">
        <v>1</v>
      </c>
      <c r="D60" s="278" t="s">
        <v>202</v>
      </c>
      <c r="E60" s="279" t="e">
        <f>MEMÓRIA!#REF!</f>
        <v>#REF!</v>
      </c>
      <c r="F60" s="284" t="e">
        <f>MEMÓRIA!#REF!</f>
        <v>#REF!</v>
      </c>
      <c r="G60" s="163" t="s">
        <v>14</v>
      </c>
      <c r="H60" s="279" t="e">
        <f>MEMÓRIA!#REF!</f>
        <v>#REF!</v>
      </c>
      <c r="I60" s="285" t="e">
        <f>MEMÓRIA!#REF!</f>
        <v>#REF!</v>
      </c>
      <c r="J60" s="164">
        <v>64</v>
      </c>
      <c r="K60" s="165" t="e">
        <f t="shared" ref="K60:K103" si="4">ROUNDDOWN(I60*J60,2)</f>
        <v>#REF!</v>
      </c>
      <c r="M60" s="672" t="s">
        <v>31</v>
      </c>
    </row>
    <row r="61" spans="2:13">
      <c r="B61" s="134" t="s">
        <v>201</v>
      </c>
      <c r="C61" s="134">
        <v>1</v>
      </c>
      <c r="D61" s="278" t="s">
        <v>203</v>
      </c>
      <c r="E61" s="279" t="e">
        <f>MEMÓRIA!#REF!</f>
        <v>#REF!</v>
      </c>
      <c r="F61" s="284" t="e">
        <f>MEMÓRIA!#REF!</f>
        <v>#REF!</v>
      </c>
      <c r="G61" s="163" t="s">
        <v>14</v>
      </c>
      <c r="H61" s="279" t="e">
        <f>MEMÓRIA!#REF!</f>
        <v>#REF!</v>
      </c>
      <c r="I61" s="285" t="e">
        <f>MEMÓRIA!#REF!</f>
        <v>#REF!</v>
      </c>
      <c r="J61" s="164">
        <v>66.08</v>
      </c>
      <c r="K61" s="165" t="e">
        <f t="shared" si="4"/>
        <v>#REF!</v>
      </c>
      <c r="M61" s="672"/>
    </row>
    <row r="62" spans="2:13">
      <c r="B62" s="134" t="s">
        <v>201</v>
      </c>
      <c r="C62" s="134">
        <v>1</v>
      </c>
      <c r="D62" s="278" t="s">
        <v>372</v>
      </c>
      <c r="E62" s="279" t="e">
        <f>MEMÓRIA!#REF!</f>
        <v>#REF!</v>
      </c>
      <c r="F62" s="284" t="e">
        <f>MEMÓRIA!#REF!</f>
        <v>#REF!</v>
      </c>
      <c r="G62" s="163" t="s">
        <v>14</v>
      </c>
      <c r="H62" s="279" t="e">
        <f>MEMÓRIA!#REF!</f>
        <v>#REF!</v>
      </c>
      <c r="I62" s="285" t="e">
        <f>MEMÓRIA!#REF!</f>
        <v>#REF!</v>
      </c>
      <c r="J62" s="164">
        <v>12.37</v>
      </c>
      <c r="K62" s="165" t="e">
        <f t="shared" si="4"/>
        <v>#REF!</v>
      </c>
      <c r="M62" s="672"/>
    </row>
    <row r="63" spans="2:13">
      <c r="B63" s="134" t="s">
        <v>201</v>
      </c>
      <c r="C63" s="134">
        <v>1</v>
      </c>
      <c r="D63" s="278" t="s">
        <v>204</v>
      </c>
      <c r="E63" s="279" t="e">
        <f>MEMÓRIA!#REF!</f>
        <v>#REF!</v>
      </c>
      <c r="F63" s="284" t="e">
        <f>MEMÓRIA!#REF!</f>
        <v>#REF!</v>
      </c>
      <c r="G63" s="163" t="s">
        <v>14</v>
      </c>
      <c r="H63" s="279" t="e">
        <f>MEMÓRIA!#REF!</f>
        <v>#REF!</v>
      </c>
      <c r="I63" s="285" t="e">
        <f>MEMÓRIA!#REF!</f>
        <v>#REF!</v>
      </c>
      <c r="J63" s="164">
        <v>10.78</v>
      </c>
      <c r="K63" s="165" t="e">
        <f t="shared" si="4"/>
        <v>#REF!</v>
      </c>
      <c r="M63" s="672"/>
    </row>
    <row r="64" spans="2:13">
      <c r="B64" s="134" t="s">
        <v>201</v>
      </c>
      <c r="C64" s="134">
        <v>1</v>
      </c>
      <c r="D64" s="278" t="s">
        <v>205</v>
      </c>
      <c r="E64" s="279" t="e">
        <f>MEMÓRIA!#REF!</f>
        <v>#REF!</v>
      </c>
      <c r="F64" s="284" t="e">
        <f>MEMÓRIA!#REF!</f>
        <v>#REF!</v>
      </c>
      <c r="G64" s="163" t="s">
        <v>14</v>
      </c>
      <c r="H64" s="279" t="e">
        <f>MEMÓRIA!#REF!</f>
        <v>#REF!</v>
      </c>
      <c r="I64" s="285" t="e">
        <f>MEMÓRIA!#REF!</f>
        <v>#REF!</v>
      </c>
      <c r="J64" s="164">
        <v>10.4</v>
      </c>
      <c r="K64" s="165" t="e">
        <f t="shared" si="4"/>
        <v>#REF!</v>
      </c>
      <c r="M64" s="672"/>
    </row>
    <row r="65" spans="2:13">
      <c r="B65" s="134" t="s">
        <v>201</v>
      </c>
      <c r="C65" s="134">
        <v>1</v>
      </c>
      <c r="D65" s="278" t="s">
        <v>206</v>
      </c>
      <c r="E65" s="279" t="e">
        <f>MEMÓRIA!#REF!</f>
        <v>#REF!</v>
      </c>
      <c r="F65" s="284" t="e">
        <f>MEMÓRIA!#REF!</f>
        <v>#REF!</v>
      </c>
      <c r="G65" s="163" t="s">
        <v>14</v>
      </c>
      <c r="H65" s="279" t="e">
        <f>MEMÓRIA!#REF!</f>
        <v>#REF!</v>
      </c>
      <c r="I65" s="285" t="e">
        <f>MEMÓRIA!#REF!</f>
        <v>#REF!</v>
      </c>
      <c r="J65" s="164">
        <v>8.44</v>
      </c>
      <c r="K65" s="165" t="e">
        <f t="shared" si="4"/>
        <v>#REF!</v>
      </c>
      <c r="M65" s="672"/>
    </row>
    <row r="66" spans="2:13">
      <c r="B66" s="134" t="s">
        <v>201</v>
      </c>
      <c r="C66" s="134">
        <v>1</v>
      </c>
      <c r="D66" s="278" t="s">
        <v>207</v>
      </c>
      <c r="E66" s="279" t="e">
        <f>MEMÓRIA!#REF!</f>
        <v>#REF!</v>
      </c>
      <c r="F66" s="284" t="e">
        <f>MEMÓRIA!#REF!</f>
        <v>#REF!</v>
      </c>
      <c r="G66" s="163" t="s">
        <v>14</v>
      </c>
      <c r="H66" s="279" t="e">
        <f>MEMÓRIA!#REF!</f>
        <v>#REF!</v>
      </c>
      <c r="I66" s="285" t="e">
        <f>MEMÓRIA!#REF!</f>
        <v>#REF!</v>
      </c>
      <c r="J66" s="164">
        <v>7.47</v>
      </c>
      <c r="K66" s="165" t="e">
        <f t="shared" si="4"/>
        <v>#REF!</v>
      </c>
      <c r="M66" s="672"/>
    </row>
    <row r="67" spans="2:13">
      <c r="D67" s="278" t="s">
        <v>208</v>
      </c>
      <c r="E67" s="279" t="e">
        <f>MEMÓRIA!#REF!</f>
        <v>#REF!</v>
      </c>
      <c r="F67" s="284" t="e">
        <f>MEMÓRIA!#REF!</f>
        <v>#REF!</v>
      </c>
      <c r="G67" s="163" t="s">
        <v>14</v>
      </c>
      <c r="H67" s="279" t="e">
        <f>MEMÓRIA!#REF!</f>
        <v>#REF!</v>
      </c>
      <c r="I67" s="285" t="e">
        <f>MEMÓRIA!#REF!</f>
        <v>#REF!</v>
      </c>
      <c r="J67" s="164">
        <v>146.13999999999999</v>
      </c>
      <c r="K67" s="165" t="e">
        <f t="shared" si="4"/>
        <v>#REF!</v>
      </c>
      <c r="M67" s="287"/>
    </row>
    <row r="68" spans="2:13">
      <c r="D68" s="278" t="s">
        <v>373</v>
      </c>
      <c r="E68" s="279" t="e">
        <f>MEMÓRIA!#REF!</f>
        <v>#REF!</v>
      </c>
      <c r="F68" s="284" t="e">
        <f>MEMÓRIA!#REF!</f>
        <v>#REF!</v>
      </c>
      <c r="G68" s="163" t="s">
        <v>14</v>
      </c>
      <c r="H68" s="279" t="e">
        <f>MEMÓRIA!#REF!</f>
        <v>#REF!</v>
      </c>
      <c r="I68" s="285" t="e">
        <f>MEMÓRIA!#REF!</f>
        <v>#REF!</v>
      </c>
      <c r="J68" s="164">
        <v>400.17</v>
      </c>
      <c r="K68" s="165" t="e">
        <f t="shared" si="4"/>
        <v>#REF!</v>
      </c>
      <c r="M68" s="287"/>
    </row>
    <row r="69" spans="2:13">
      <c r="D69" s="159" t="s">
        <v>374</v>
      </c>
      <c r="E69" s="159"/>
      <c r="F69" s="158" t="s">
        <v>348</v>
      </c>
      <c r="G69" s="158"/>
      <c r="H69" s="158"/>
      <c r="I69" s="160"/>
      <c r="J69" s="160"/>
      <c r="K69" s="160" t="e">
        <f>SUM(K70:K75)</f>
        <v>#REF!</v>
      </c>
      <c r="M69" s="287"/>
    </row>
    <row r="70" spans="2:13">
      <c r="D70" s="278" t="s">
        <v>375</v>
      </c>
      <c r="E70" s="279" t="e">
        <f>MEMÓRIA!#REF!</f>
        <v>#REF!</v>
      </c>
      <c r="F70" s="284" t="e">
        <f>MEMÓRIA!#REF!</f>
        <v>#REF!</v>
      </c>
      <c r="G70" s="163" t="s">
        <v>14</v>
      </c>
      <c r="H70" s="279" t="e">
        <f>MEMÓRIA!#REF!</f>
        <v>#REF!</v>
      </c>
      <c r="I70" s="285" t="e">
        <f>MEMÓRIA!#REF!</f>
        <v>#REF!</v>
      </c>
      <c r="J70" s="164">
        <v>151.58000000000001</v>
      </c>
      <c r="K70" s="165" t="e">
        <f t="shared" si="4"/>
        <v>#REF!</v>
      </c>
      <c r="M70" s="287"/>
    </row>
    <row r="71" spans="2:13">
      <c r="D71" s="278" t="s">
        <v>376</v>
      </c>
      <c r="E71" s="279" t="e">
        <f>MEMÓRIA!#REF!</f>
        <v>#REF!</v>
      </c>
      <c r="F71" s="284" t="e">
        <f>MEMÓRIA!#REF!</f>
        <v>#REF!</v>
      </c>
      <c r="G71" s="163" t="s">
        <v>14</v>
      </c>
      <c r="H71" s="279" t="e">
        <f>MEMÓRIA!#REF!</f>
        <v>#REF!</v>
      </c>
      <c r="I71" s="285" t="e">
        <f>MEMÓRIA!#REF!</f>
        <v>#REF!</v>
      </c>
      <c r="J71" s="164">
        <v>142.13999999999999</v>
      </c>
      <c r="K71" s="165" t="e">
        <f t="shared" si="4"/>
        <v>#REF!</v>
      </c>
      <c r="M71" s="287"/>
    </row>
    <row r="72" spans="2:13">
      <c r="D72" s="278" t="s">
        <v>377</v>
      </c>
      <c r="E72" s="279" t="e">
        <f>MEMÓRIA!#REF!</f>
        <v>#REF!</v>
      </c>
      <c r="F72" s="284" t="e">
        <f>MEMÓRIA!#REF!</f>
        <v>#REF!</v>
      </c>
      <c r="G72" s="163" t="s">
        <v>14</v>
      </c>
      <c r="H72" s="279" t="e">
        <f>MEMÓRIA!#REF!</f>
        <v>#REF!</v>
      </c>
      <c r="I72" s="285" t="e">
        <f>MEMÓRIA!#REF!</f>
        <v>#REF!</v>
      </c>
      <c r="J72" s="164">
        <v>9.44</v>
      </c>
      <c r="K72" s="165" t="e">
        <f t="shared" si="4"/>
        <v>#REF!</v>
      </c>
      <c r="M72" s="287"/>
    </row>
    <row r="73" spans="2:13">
      <c r="D73" s="278" t="s">
        <v>378</v>
      </c>
      <c r="E73" s="279" t="e">
        <f>MEMÓRIA!#REF!</f>
        <v>#REF!</v>
      </c>
      <c r="F73" s="284" t="e">
        <f>MEMÓRIA!#REF!</f>
        <v>#REF!</v>
      </c>
      <c r="G73" s="163" t="s">
        <v>14</v>
      </c>
      <c r="H73" s="279" t="e">
        <f>MEMÓRIA!#REF!</f>
        <v>#REF!</v>
      </c>
      <c r="I73" s="285" t="e">
        <f>MEMÓRIA!#REF!</f>
        <v>#REF!</v>
      </c>
      <c r="J73" s="164">
        <v>9.3699999999999992</v>
      </c>
      <c r="K73" s="165" t="e">
        <f t="shared" si="4"/>
        <v>#REF!</v>
      </c>
      <c r="M73" s="287"/>
    </row>
    <row r="74" spans="2:13">
      <c r="D74" s="278" t="s">
        <v>379</v>
      </c>
      <c r="E74" s="279" t="e">
        <f>MEMÓRIA!#REF!</f>
        <v>#REF!</v>
      </c>
      <c r="F74" s="284" t="e">
        <f>MEMÓRIA!#REF!</f>
        <v>#REF!</v>
      </c>
      <c r="G74" s="163" t="s">
        <v>14</v>
      </c>
      <c r="H74" s="279" t="e">
        <f>MEMÓRIA!#REF!</f>
        <v>#REF!</v>
      </c>
      <c r="I74" s="285" t="e">
        <f>MEMÓRIA!#REF!</f>
        <v>#REF!</v>
      </c>
      <c r="J74" s="164">
        <v>146.13999999999999</v>
      </c>
      <c r="K74" s="165" t="e">
        <f t="shared" si="4"/>
        <v>#REF!</v>
      </c>
      <c r="M74" s="287"/>
    </row>
    <row r="75" spans="2:13">
      <c r="D75" s="278" t="s">
        <v>380</v>
      </c>
      <c r="E75" s="279" t="e">
        <f>MEMÓRIA!#REF!</f>
        <v>#REF!</v>
      </c>
      <c r="F75" s="284" t="e">
        <f>MEMÓRIA!#REF!</f>
        <v>#REF!</v>
      </c>
      <c r="G75" s="163" t="s">
        <v>14</v>
      </c>
      <c r="H75" s="279" t="e">
        <f>MEMÓRIA!#REF!</f>
        <v>#REF!</v>
      </c>
      <c r="I75" s="285" t="e">
        <f>MEMÓRIA!#REF!</f>
        <v>#REF!</v>
      </c>
      <c r="J75" s="164">
        <v>400.17</v>
      </c>
      <c r="K75" s="165" t="e">
        <f t="shared" si="4"/>
        <v>#REF!</v>
      </c>
      <c r="M75" s="287"/>
    </row>
    <row r="76" spans="2:13">
      <c r="D76" s="159" t="s">
        <v>209</v>
      </c>
      <c r="E76" s="159"/>
      <c r="F76" s="158" t="s">
        <v>117</v>
      </c>
      <c r="G76" s="158"/>
      <c r="H76" s="158"/>
      <c r="I76" s="160"/>
      <c r="J76" s="160"/>
      <c r="K76" s="160">
        <f>SUM(K77:K81)</f>
        <v>0</v>
      </c>
      <c r="M76" s="287"/>
    </row>
    <row r="77" spans="2:13">
      <c r="D77" s="278" t="s">
        <v>211</v>
      </c>
      <c r="E77" s="279" t="e">
        <f>MEMÓRIA!#REF!</f>
        <v>#REF!</v>
      </c>
      <c r="F77" s="284" t="e">
        <f>MEMÓRIA!#REF!</f>
        <v>#REF!</v>
      </c>
      <c r="G77" s="163" t="s">
        <v>14</v>
      </c>
      <c r="H77" s="279" t="e">
        <f>MEMÓRIA!#REF!</f>
        <v>#REF!</v>
      </c>
      <c r="I77" s="286" t="e">
        <f>MEMÓRIA!#REF!</f>
        <v>#REF!</v>
      </c>
      <c r="J77" s="164"/>
      <c r="K77" s="165"/>
      <c r="M77" s="287"/>
    </row>
    <row r="78" spans="2:13">
      <c r="D78" s="278" t="s">
        <v>212</v>
      </c>
      <c r="E78" s="279" t="e">
        <f>MEMÓRIA!#REF!</f>
        <v>#REF!</v>
      </c>
      <c r="F78" s="284" t="e">
        <f>MEMÓRIA!#REF!</f>
        <v>#REF!</v>
      </c>
      <c r="G78" s="163" t="s">
        <v>14</v>
      </c>
      <c r="H78" s="279" t="e">
        <f>MEMÓRIA!#REF!</f>
        <v>#REF!</v>
      </c>
      <c r="I78" s="286" t="e">
        <f>MEMÓRIA!#REF!</f>
        <v>#REF!</v>
      </c>
      <c r="J78" s="164"/>
      <c r="K78" s="165"/>
      <c r="M78" s="287"/>
    </row>
    <row r="79" spans="2:13">
      <c r="D79" s="278" t="s">
        <v>381</v>
      </c>
      <c r="E79" s="279" t="e">
        <f>MEMÓRIA!#REF!</f>
        <v>#REF!</v>
      </c>
      <c r="F79" s="284" t="e">
        <f>MEMÓRIA!#REF!</f>
        <v>#REF!</v>
      </c>
      <c r="G79" s="163" t="s">
        <v>14</v>
      </c>
      <c r="H79" s="279" t="e">
        <f>MEMÓRIA!#REF!</f>
        <v>#REF!</v>
      </c>
      <c r="I79" s="286" t="e">
        <f>MEMÓRIA!#REF!</f>
        <v>#REF!</v>
      </c>
      <c r="J79" s="164"/>
      <c r="K79" s="165"/>
      <c r="M79" s="287"/>
    </row>
    <row r="80" spans="2:13">
      <c r="D80" s="278" t="s">
        <v>382</v>
      </c>
      <c r="E80" s="279" t="e">
        <f>MEMÓRIA!#REF!</f>
        <v>#REF!</v>
      </c>
      <c r="F80" s="284" t="e">
        <f>MEMÓRIA!#REF!</f>
        <v>#REF!</v>
      </c>
      <c r="G80" s="163" t="s">
        <v>14</v>
      </c>
      <c r="H80" s="279" t="e">
        <f>MEMÓRIA!#REF!</f>
        <v>#REF!</v>
      </c>
      <c r="I80" s="286" t="e">
        <f>MEMÓRIA!#REF!</f>
        <v>#REF!</v>
      </c>
      <c r="J80" s="164"/>
      <c r="K80" s="165"/>
      <c r="M80" s="287"/>
    </row>
    <row r="81" spans="2:13">
      <c r="D81" s="278" t="s">
        <v>383</v>
      </c>
      <c r="E81" s="279" t="e">
        <f>MEMÓRIA!#REF!</f>
        <v>#REF!</v>
      </c>
      <c r="F81" s="284" t="e">
        <f>MEMÓRIA!#REF!</f>
        <v>#REF!</v>
      </c>
      <c r="G81" s="163" t="s">
        <v>14</v>
      </c>
      <c r="H81" s="279" t="e">
        <f>MEMÓRIA!#REF!</f>
        <v>#REF!</v>
      </c>
      <c r="I81" s="286" t="e">
        <f>MEMÓRIA!#REF!</f>
        <v>#REF!</v>
      </c>
      <c r="J81" s="164"/>
      <c r="K81" s="165"/>
      <c r="M81" s="287"/>
    </row>
    <row r="82" spans="2:13">
      <c r="C82" s="134" t="str">
        <f>IF(G82="","",1)</f>
        <v/>
      </c>
      <c r="D82" s="157" t="s">
        <v>214</v>
      </c>
      <c r="E82" s="159"/>
      <c r="F82" s="158" t="s">
        <v>210</v>
      </c>
      <c r="G82" s="158"/>
      <c r="H82" s="158"/>
      <c r="I82" s="160"/>
      <c r="J82" s="160"/>
      <c r="K82" s="160">
        <f>SUM(K83:K91)</f>
        <v>0</v>
      </c>
    </row>
    <row r="83" spans="2:13">
      <c r="B83" s="167" t="s">
        <v>210</v>
      </c>
      <c r="C83" s="134">
        <v>1</v>
      </c>
      <c r="D83" s="278" t="s">
        <v>384</v>
      </c>
      <c r="E83" s="279" t="e">
        <f>MEMÓRIA!#REF!</f>
        <v>#REF!</v>
      </c>
      <c r="F83" s="284" t="e">
        <f>MEMÓRIA!#REF!</f>
        <v>#REF!</v>
      </c>
      <c r="G83" s="163" t="s">
        <v>14</v>
      </c>
      <c r="H83" s="279" t="e">
        <f>MEMÓRIA!#REF!</f>
        <v>#REF!</v>
      </c>
      <c r="I83" s="286" t="e">
        <f>MEMÓRIA!#REF!</f>
        <v>#REF!</v>
      </c>
      <c r="J83" s="164">
        <v>4.97</v>
      </c>
      <c r="K83" s="165"/>
    </row>
    <row r="84" spans="2:13" ht="25.5">
      <c r="B84" s="167" t="s">
        <v>210</v>
      </c>
      <c r="C84" s="134">
        <v>1</v>
      </c>
      <c r="D84" s="278" t="s">
        <v>385</v>
      </c>
      <c r="E84" s="279">
        <f>MEMÓRIA!B136</f>
        <v>105021</v>
      </c>
      <c r="F84" s="284" t="str">
        <f>MEMÓRIA!C136</f>
        <v>VERGA PRÉ-MOLDADA COM ATÉ 1,5 M DE VÃO, ESPESSURA DE *15* CM. AF_03/2024</v>
      </c>
      <c r="G84" s="163" t="s">
        <v>14</v>
      </c>
      <c r="H84" s="279" t="str">
        <f>MEMÓRIA!I136</f>
        <v>M</v>
      </c>
      <c r="I84" s="286">
        <f>MEMÓRIA!H136</f>
        <v>71.099999999999994</v>
      </c>
      <c r="J84" s="164">
        <v>22.86</v>
      </c>
      <c r="K84" s="165"/>
    </row>
    <row r="85" spans="2:13" ht="25.5">
      <c r="B85" s="167"/>
      <c r="D85" s="278" t="s">
        <v>386</v>
      </c>
      <c r="E85" s="279">
        <f>MEMÓRIA!B137</f>
        <v>105023</v>
      </c>
      <c r="F85" s="284" t="str">
        <f>MEMÓRIA!C137</f>
        <v>VERGA MOLDADA IN LOCO EM CONCRETO, ESPESSURA DE *15* CM. AF_03/2024</v>
      </c>
      <c r="G85" s="163" t="s">
        <v>14</v>
      </c>
      <c r="H85" s="279" t="str">
        <f>MEMÓRIA!I137</f>
        <v>M</v>
      </c>
      <c r="I85" s="286">
        <f>MEMÓRIA!H137</f>
        <v>29.7</v>
      </c>
      <c r="J85" s="164">
        <v>27.09</v>
      </c>
      <c r="K85" s="165"/>
    </row>
    <row r="86" spans="2:13">
      <c r="B86" s="167"/>
      <c r="D86" s="278" t="s">
        <v>387</v>
      </c>
      <c r="E86" s="279">
        <f>MEMÓRIA!B138</f>
        <v>105027</v>
      </c>
      <c r="F86" s="284" t="str">
        <f>MEMÓRIA!C138</f>
        <v>CONTRAVERGA PRÉ-MOLDADA, ESPESSURA DE *15* CM. AF_03/2024</v>
      </c>
      <c r="G86" s="163" t="s">
        <v>14</v>
      </c>
      <c r="H86" s="279" t="str">
        <f>MEMÓRIA!I138</f>
        <v>M</v>
      </c>
      <c r="I86" s="286">
        <f>MEMÓRIA!H138</f>
        <v>322.29999999999995</v>
      </c>
      <c r="J86" s="164">
        <v>23.15</v>
      </c>
      <c r="K86" s="165"/>
    </row>
    <row r="87" spans="2:13">
      <c r="B87" s="167"/>
      <c r="D87" s="278" t="s">
        <v>388</v>
      </c>
      <c r="E87" s="279" t="e">
        <f>MEMÓRIA!#REF!</f>
        <v>#REF!</v>
      </c>
      <c r="F87" s="284" t="e">
        <f>MEMÓRIA!#REF!</f>
        <v>#REF!</v>
      </c>
      <c r="G87" s="163" t="s">
        <v>14</v>
      </c>
      <c r="H87" s="279" t="e">
        <f>MEMÓRIA!#REF!</f>
        <v>#REF!</v>
      </c>
      <c r="I87" s="286" t="e">
        <f>MEMÓRIA!#REF!</f>
        <v>#REF!</v>
      </c>
      <c r="J87" s="164">
        <v>17.739999999999998</v>
      </c>
      <c r="K87" s="165"/>
    </row>
    <row r="88" spans="2:13" ht="38.25">
      <c r="B88" s="167"/>
      <c r="D88" s="278" t="s">
        <v>389</v>
      </c>
      <c r="E88" s="279">
        <f>MEMÓRIA!B140</f>
        <v>103324</v>
      </c>
      <c r="F88" s="284" t="str">
        <f>MEMÓRIA!C140</f>
        <v>ALVENARIA DE VEDAÇÃO DE BLOCOS CERÂMICOS FURADOS NA VERTICAL DE 14X19X39 CM (ESPESSURA 14 CM) E ARGAMASSA DE ASSENTAMENTO COM PREPARO EM BETONEIRA. AF_12/2021</v>
      </c>
      <c r="G88" s="163" t="s">
        <v>14</v>
      </c>
      <c r="H88" s="279" t="str">
        <f>MEMÓRIA!I140</f>
        <v>M2</v>
      </c>
      <c r="I88" s="286">
        <f>MEMÓRIA!H140</f>
        <v>2237.0833999999995</v>
      </c>
      <c r="J88" s="164">
        <v>63.13</v>
      </c>
      <c r="K88" s="165"/>
    </row>
    <row r="89" spans="2:13" ht="38.25">
      <c r="B89" s="167"/>
      <c r="D89" s="278" t="s">
        <v>390</v>
      </c>
      <c r="E89" s="279">
        <f>MEMÓRIA!B141</f>
        <v>103326</v>
      </c>
      <c r="F89" s="284" t="str">
        <f>MEMÓRIA!C141</f>
        <v>ALVENARIA DE VEDAÇÃO DE BLOCOS CERÂMICOS FURADOS NA VERTICAL DE 19X19X39 CM (ESPESSURA 19 CM) E ARGAMASSA DE ASSENTAMENTO COM PREPARO EM BETONEIRA. AF_12/2021</v>
      </c>
      <c r="G89" s="163" t="s">
        <v>14</v>
      </c>
      <c r="H89" s="279" t="str">
        <f>MEMÓRIA!I141</f>
        <v>M2</v>
      </c>
      <c r="I89" s="286">
        <f>MEMÓRIA!H141</f>
        <v>10.872</v>
      </c>
      <c r="J89" s="164">
        <v>54.52</v>
      </c>
      <c r="K89" s="165"/>
    </row>
    <row r="90" spans="2:13" ht="38.25">
      <c r="B90" s="167"/>
      <c r="D90" s="278" t="s">
        <v>391</v>
      </c>
      <c r="E90" s="279">
        <f>MEMÓRIA!B145</f>
        <v>102253</v>
      </c>
      <c r="F90" s="284" t="str">
        <f>MEMÓRIA!C145</f>
        <v>DIVISORIA SANITÁRIA, TIPO CABINE, EM GRANITO CINZA POLIDO, ESP = 3CM, ASSENTADO COM ARGAMASSA COLANTE AC III-E, EXCLUSIVE FERRAGENS. AF_01/2021</v>
      </c>
      <c r="G90" s="163" t="s">
        <v>14</v>
      </c>
      <c r="H90" s="279" t="str">
        <f>MEMÓRIA!I145</f>
        <v>M2</v>
      </c>
      <c r="I90" s="286">
        <f>MEMÓRIA!H145</f>
        <v>38.556000000000004</v>
      </c>
      <c r="J90" s="164">
        <v>70.540000000000006</v>
      </c>
      <c r="K90" s="165"/>
    </row>
    <row r="91" spans="2:13">
      <c r="B91" s="167"/>
      <c r="D91" s="278" t="s">
        <v>392</v>
      </c>
      <c r="E91" s="279" t="str">
        <f>MEMÓRIA!B148</f>
        <v>CPU_MCR.037</v>
      </c>
      <c r="F91" s="284" t="str">
        <f>MEMÓRIA!C148</f>
        <v>FECHAMENTO EM PLACA CIMENTÍCIA, ESPESSURA 10 MM</v>
      </c>
      <c r="G91" s="163" t="s">
        <v>14</v>
      </c>
      <c r="H91" s="279" t="str">
        <f>MEMÓRIA!I148</f>
        <v>M2</v>
      </c>
      <c r="I91" s="286">
        <f>MEMÓRIA!H148</f>
        <v>231.11</v>
      </c>
      <c r="J91" s="164">
        <v>59.19</v>
      </c>
      <c r="K91" s="165"/>
    </row>
    <row r="92" spans="2:13">
      <c r="B92" s="167"/>
      <c r="D92" s="157" t="s">
        <v>215</v>
      </c>
      <c r="E92" s="159"/>
      <c r="F92" s="158" t="s">
        <v>122</v>
      </c>
      <c r="G92" s="158"/>
      <c r="H92" s="158"/>
      <c r="I92" s="160"/>
      <c r="J92" s="160"/>
      <c r="K92" s="160" t="e">
        <f>SUM(K93:K100)</f>
        <v>#REF!</v>
      </c>
    </row>
    <row r="93" spans="2:13">
      <c r="B93" s="167"/>
      <c r="D93" s="278" t="s">
        <v>217</v>
      </c>
      <c r="E93" s="279" t="e">
        <f>MEMÓRIA!#REF!</f>
        <v>#REF!</v>
      </c>
      <c r="F93" s="284" t="e">
        <f>MEMÓRIA!#REF!</f>
        <v>#REF!</v>
      </c>
      <c r="G93" s="163" t="s">
        <v>14</v>
      </c>
      <c r="H93" s="279" t="e">
        <f>MEMÓRIA!#REF!</f>
        <v>#REF!</v>
      </c>
      <c r="I93" s="286" t="e">
        <f>MEMÓRIA!#REF!</f>
        <v>#REF!</v>
      </c>
      <c r="J93" s="164">
        <v>74.52</v>
      </c>
      <c r="K93" s="165" t="e">
        <f t="shared" si="4"/>
        <v>#REF!</v>
      </c>
    </row>
    <row r="94" spans="2:13">
      <c r="B94" s="167"/>
      <c r="D94" s="278" t="s">
        <v>218</v>
      </c>
      <c r="E94" s="279" t="e">
        <f>MEMÓRIA!#REF!</f>
        <v>#REF!</v>
      </c>
      <c r="F94" s="284" t="e">
        <f>MEMÓRIA!#REF!</f>
        <v>#REF!</v>
      </c>
      <c r="G94" s="163" t="s">
        <v>14</v>
      </c>
      <c r="H94" s="279" t="e">
        <f>MEMÓRIA!#REF!</f>
        <v>#REF!</v>
      </c>
      <c r="I94" s="286" t="e">
        <f>MEMÓRIA!#REF!</f>
        <v>#REF!</v>
      </c>
      <c r="J94" s="164">
        <v>13.86</v>
      </c>
      <c r="K94" s="165" t="e">
        <f t="shared" si="4"/>
        <v>#REF!</v>
      </c>
    </row>
    <row r="95" spans="2:13">
      <c r="B95" s="167"/>
      <c r="D95" s="278" t="s">
        <v>219</v>
      </c>
      <c r="E95" s="279" t="e">
        <f>MEMÓRIA!#REF!</f>
        <v>#REF!</v>
      </c>
      <c r="F95" s="289" t="e">
        <f>MEMÓRIA!#REF!</f>
        <v>#REF!</v>
      </c>
      <c r="G95" s="163" t="s">
        <v>14</v>
      </c>
      <c r="H95" s="279" t="e">
        <f>MEMÓRIA!#REF!</f>
        <v>#REF!</v>
      </c>
      <c r="I95" s="286" t="e">
        <f>MEMÓRIA!#REF!</f>
        <v>#REF!</v>
      </c>
      <c r="J95" s="164">
        <v>117.73</v>
      </c>
      <c r="K95" s="165" t="e">
        <f t="shared" si="4"/>
        <v>#REF!</v>
      </c>
    </row>
    <row r="96" spans="2:13">
      <c r="B96" s="167"/>
      <c r="D96" s="278" t="s">
        <v>393</v>
      </c>
      <c r="E96" s="279" t="e">
        <f>MEMÓRIA!#REF!</f>
        <v>#REF!</v>
      </c>
      <c r="F96" s="289" t="e">
        <f>MEMÓRIA!#REF!</f>
        <v>#REF!</v>
      </c>
      <c r="G96" s="163" t="s">
        <v>14</v>
      </c>
      <c r="H96" s="279" t="e">
        <f>MEMÓRIA!#REF!</f>
        <v>#REF!</v>
      </c>
      <c r="I96" s="286" t="e">
        <f>MEMÓRIA!#REF!</f>
        <v>#REF!</v>
      </c>
      <c r="J96" s="164">
        <v>106.5</v>
      </c>
      <c r="K96" s="165" t="e">
        <f t="shared" si="4"/>
        <v>#REF!</v>
      </c>
    </row>
    <row r="97" spans="2:11">
      <c r="B97" s="167"/>
      <c r="D97" s="278" t="s">
        <v>394</v>
      </c>
      <c r="E97" s="279" t="e">
        <f>MEMÓRIA!#REF!</f>
        <v>#REF!</v>
      </c>
      <c r="F97" s="289" t="e">
        <f>MEMÓRIA!#REF!</f>
        <v>#REF!</v>
      </c>
      <c r="G97" s="163" t="s">
        <v>14</v>
      </c>
      <c r="H97" s="279" t="e">
        <f>MEMÓRIA!#REF!</f>
        <v>#REF!</v>
      </c>
      <c r="I97" s="286" t="e">
        <f>MEMÓRIA!#REF!</f>
        <v>#REF!</v>
      </c>
      <c r="J97" s="164">
        <v>99.6</v>
      </c>
      <c r="K97" s="165" t="e">
        <f t="shared" si="4"/>
        <v>#REF!</v>
      </c>
    </row>
    <row r="98" spans="2:11">
      <c r="B98" s="167"/>
      <c r="D98" s="278" t="s">
        <v>395</v>
      </c>
      <c r="E98" s="279" t="e">
        <f>MEMÓRIA!#REF!</f>
        <v>#REF!</v>
      </c>
      <c r="F98" s="289" t="e">
        <f>MEMÓRIA!#REF!</f>
        <v>#REF!</v>
      </c>
      <c r="G98" s="163" t="s">
        <v>14</v>
      </c>
      <c r="H98" s="279" t="e">
        <f>MEMÓRIA!#REF!</f>
        <v>#REF!</v>
      </c>
      <c r="I98" s="286" t="e">
        <f>MEMÓRIA!#REF!</f>
        <v>#REF!</v>
      </c>
      <c r="J98" s="164">
        <v>34.630000000000003</v>
      </c>
      <c r="K98" s="165" t="e">
        <f t="shared" si="4"/>
        <v>#REF!</v>
      </c>
    </row>
    <row r="99" spans="2:11">
      <c r="B99" s="167"/>
      <c r="D99" s="278" t="s">
        <v>396</v>
      </c>
      <c r="E99" s="279" t="e">
        <f>MEMÓRIA!#REF!</f>
        <v>#REF!</v>
      </c>
      <c r="F99" s="289" t="e">
        <f>MEMÓRIA!#REF!</f>
        <v>#REF!</v>
      </c>
      <c r="G99" s="163" t="s">
        <v>14</v>
      </c>
      <c r="H99" s="279" t="e">
        <f>MEMÓRIA!#REF!</f>
        <v>#REF!</v>
      </c>
      <c r="I99" s="286" t="e">
        <f>MEMÓRIA!#REF!</f>
        <v>#REF!</v>
      </c>
      <c r="J99" s="164">
        <v>75.22</v>
      </c>
      <c r="K99" s="165" t="e">
        <f t="shared" si="4"/>
        <v>#REF!</v>
      </c>
    </row>
    <row r="100" spans="2:11">
      <c r="B100" s="167"/>
      <c r="D100" s="278" t="s">
        <v>397</v>
      </c>
      <c r="E100" s="279" t="e">
        <f>MEMÓRIA!#REF!</f>
        <v>#REF!</v>
      </c>
      <c r="F100" s="289" t="e">
        <f>MEMÓRIA!#REF!</f>
        <v>#REF!</v>
      </c>
      <c r="G100" s="163" t="s">
        <v>14</v>
      </c>
      <c r="H100" s="279" t="e">
        <f>MEMÓRIA!#REF!</f>
        <v>#REF!</v>
      </c>
      <c r="I100" s="286" t="e">
        <f>MEMÓRIA!#REF!</f>
        <v>#REF!</v>
      </c>
      <c r="J100" s="164">
        <v>80.5</v>
      </c>
      <c r="K100" s="165" t="e">
        <f t="shared" si="4"/>
        <v>#REF!</v>
      </c>
    </row>
    <row r="101" spans="2:11">
      <c r="B101" s="167"/>
      <c r="D101" s="157" t="s">
        <v>220</v>
      </c>
      <c r="E101" s="159"/>
      <c r="F101" s="158" t="s">
        <v>123</v>
      </c>
      <c r="G101" s="158"/>
      <c r="H101" s="158"/>
      <c r="I101" s="160"/>
      <c r="J101" s="160"/>
      <c r="K101" s="160" t="e">
        <f>SUM(K102:K103)</f>
        <v>#REF!</v>
      </c>
    </row>
    <row r="102" spans="2:11">
      <c r="B102" s="167"/>
      <c r="D102" s="278" t="s">
        <v>222</v>
      </c>
      <c r="E102" s="279" t="e">
        <f>MEMÓRIA!#REF!</f>
        <v>#REF!</v>
      </c>
      <c r="F102" s="284" t="e">
        <f>MEMÓRIA!#REF!</f>
        <v>#REF!</v>
      </c>
      <c r="G102" s="163" t="s">
        <v>14</v>
      </c>
      <c r="H102" s="279" t="e">
        <f>MEMÓRIA!#REF!</f>
        <v>#REF!</v>
      </c>
      <c r="I102" s="285" t="e">
        <f>MEMÓRIA!#REF!</f>
        <v>#REF!</v>
      </c>
      <c r="J102" s="164">
        <v>45.27</v>
      </c>
      <c r="K102" s="165" t="e">
        <f t="shared" si="4"/>
        <v>#REF!</v>
      </c>
    </row>
    <row r="103" spans="2:11">
      <c r="B103" s="167"/>
      <c r="D103" s="278" t="s">
        <v>223</v>
      </c>
      <c r="E103" s="279" t="e">
        <f>MEMÓRIA!#REF!</f>
        <v>#REF!</v>
      </c>
      <c r="F103" s="284" t="e">
        <f>MEMÓRIA!#REF!</f>
        <v>#REF!</v>
      </c>
      <c r="G103" s="163" t="s">
        <v>14</v>
      </c>
      <c r="H103" s="279" t="e">
        <f>MEMÓRIA!#REF!</f>
        <v>#REF!</v>
      </c>
      <c r="I103" s="285" t="e">
        <f>MEMÓRIA!#REF!</f>
        <v>#REF!</v>
      </c>
      <c r="J103" s="164">
        <v>8.0299999999999994</v>
      </c>
      <c r="K103" s="165" t="e">
        <f t="shared" si="4"/>
        <v>#REF!</v>
      </c>
    </row>
    <row r="104" spans="2:11">
      <c r="C104" s="134" t="str">
        <f>IF(G104="","",1)</f>
        <v/>
      </c>
      <c r="D104" s="157" t="s">
        <v>225</v>
      </c>
      <c r="E104" s="159"/>
      <c r="F104" s="158" t="s">
        <v>124</v>
      </c>
      <c r="G104" s="158"/>
      <c r="H104" s="158"/>
      <c r="I104" s="160"/>
      <c r="J104" s="160"/>
      <c r="K104" s="160" t="e">
        <f>SUM(K105:K106)</f>
        <v>#REF!</v>
      </c>
    </row>
    <row r="105" spans="2:11">
      <c r="B105" s="134" t="s">
        <v>124</v>
      </c>
      <c r="C105" s="134">
        <f>IF(G105="","",1)</f>
        <v>1</v>
      </c>
      <c r="D105" s="278" t="s">
        <v>398</v>
      </c>
      <c r="E105" s="279" t="e">
        <f>MEMÓRIA!#REF!</f>
        <v>#REF!</v>
      </c>
      <c r="F105" s="284" t="e">
        <f>MEMÓRIA!#REF!</f>
        <v>#REF!</v>
      </c>
      <c r="G105" s="163" t="s">
        <v>14</v>
      </c>
      <c r="H105" s="279" t="e">
        <f>MEMÓRIA!#REF!</f>
        <v>#REF!</v>
      </c>
      <c r="I105" s="285" t="e">
        <f>MEMÓRIA!#REF!</f>
        <v>#REF!</v>
      </c>
      <c r="J105" s="164">
        <v>8.92</v>
      </c>
      <c r="K105" s="165" t="e">
        <f>ROUNDDOWN(I105*J105,2)</f>
        <v>#REF!</v>
      </c>
    </row>
    <row r="106" spans="2:11">
      <c r="D106" s="278" t="s">
        <v>399</v>
      </c>
      <c r="E106" s="279" t="e">
        <f>MEMÓRIA!#REF!</f>
        <v>#REF!</v>
      </c>
      <c r="F106" s="284" t="e">
        <f>MEMÓRIA!#REF!</f>
        <v>#REF!</v>
      </c>
      <c r="G106" s="163" t="s">
        <v>14</v>
      </c>
      <c r="H106" s="279" t="e">
        <f>MEMÓRIA!#REF!</f>
        <v>#REF!</v>
      </c>
      <c r="I106" s="285" t="e">
        <f>MEMÓRIA!#REF!</f>
        <v>#REF!</v>
      </c>
      <c r="J106" s="166">
        <v>29.05</v>
      </c>
      <c r="K106" s="165" t="e">
        <f>ROUNDDOWN(I106*J106,2)</f>
        <v>#REF!</v>
      </c>
    </row>
    <row r="107" spans="2:11">
      <c r="C107" s="134" t="str">
        <f>IF(G107="","",1)</f>
        <v/>
      </c>
      <c r="D107" s="157" t="s">
        <v>229</v>
      </c>
      <c r="E107" s="159"/>
      <c r="F107" s="158" t="s">
        <v>216</v>
      </c>
      <c r="G107" s="158"/>
      <c r="H107" s="158"/>
      <c r="I107" s="160"/>
      <c r="J107" s="160"/>
      <c r="K107" s="160">
        <f>SUM(K108:K115)</f>
        <v>0</v>
      </c>
    </row>
    <row r="108" spans="2:11">
      <c r="B108" s="134" t="s">
        <v>216</v>
      </c>
      <c r="C108" s="134">
        <v>1</v>
      </c>
      <c r="D108" s="278" t="s">
        <v>231</v>
      </c>
      <c r="E108" s="279" t="e">
        <f>MEMÓRIA!#REF!</f>
        <v>#REF!</v>
      </c>
      <c r="F108" s="284" t="e">
        <f>MEMÓRIA!#REF!</f>
        <v>#REF!</v>
      </c>
      <c r="G108" s="163" t="s">
        <v>14</v>
      </c>
      <c r="H108" s="279" t="e">
        <f>MEMÓRIA!#REF!</f>
        <v>#REF!</v>
      </c>
      <c r="I108" s="286" t="e">
        <f>MEMÓRIA!#REF!</f>
        <v>#REF!</v>
      </c>
      <c r="J108" s="164">
        <v>20.46</v>
      </c>
      <c r="K108" s="165"/>
    </row>
    <row r="109" spans="2:11">
      <c r="D109" s="278" t="s">
        <v>400</v>
      </c>
      <c r="E109" s="279" t="e">
        <f>MEMÓRIA!#REF!</f>
        <v>#REF!</v>
      </c>
      <c r="F109" s="284" t="e">
        <f>MEMÓRIA!#REF!</f>
        <v>#REF!</v>
      </c>
      <c r="G109" s="163" t="s">
        <v>14</v>
      </c>
      <c r="H109" s="279" t="e">
        <f>MEMÓRIA!#REF!</f>
        <v>#REF!</v>
      </c>
      <c r="I109" s="286" t="e">
        <f>MEMÓRIA!#REF!</f>
        <v>#REF!</v>
      </c>
      <c r="J109" s="164">
        <v>17.03</v>
      </c>
      <c r="K109" s="165"/>
    </row>
    <row r="110" spans="2:11">
      <c r="D110" s="278" t="s">
        <v>401</v>
      </c>
      <c r="E110" s="279" t="e">
        <f>MEMÓRIA!#REF!</f>
        <v>#REF!</v>
      </c>
      <c r="F110" s="284" t="e">
        <f>MEMÓRIA!#REF!</f>
        <v>#REF!</v>
      </c>
      <c r="G110" s="163" t="s">
        <v>14</v>
      </c>
      <c r="H110" s="279" t="e">
        <f>MEMÓRIA!#REF!</f>
        <v>#REF!</v>
      </c>
      <c r="I110" s="286" t="e">
        <f>MEMÓRIA!#REF!</f>
        <v>#REF!</v>
      </c>
      <c r="J110" s="164"/>
      <c r="K110" s="165"/>
    </row>
    <row r="111" spans="2:11">
      <c r="D111" s="278" t="s">
        <v>402</v>
      </c>
      <c r="E111" s="279" t="e">
        <f>MEMÓRIA!#REF!</f>
        <v>#REF!</v>
      </c>
      <c r="F111" s="284" t="e">
        <f>MEMÓRIA!#REF!</f>
        <v>#REF!</v>
      </c>
      <c r="G111" s="163" t="s">
        <v>14</v>
      </c>
      <c r="H111" s="279" t="e">
        <f>MEMÓRIA!#REF!</f>
        <v>#REF!</v>
      </c>
      <c r="I111" s="286" t="e">
        <f>MEMÓRIA!#REF!</f>
        <v>#REF!</v>
      </c>
      <c r="J111" s="164">
        <v>45.04</v>
      </c>
      <c r="K111" s="165"/>
    </row>
    <row r="112" spans="2:11">
      <c r="D112" s="278" t="s">
        <v>403</v>
      </c>
      <c r="E112" s="279" t="e">
        <f>MEMÓRIA!#REF!</f>
        <v>#REF!</v>
      </c>
      <c r="F112" s="284" t="e">
        <f>MEMÓRIA!#REF!</f>
        <v>#REF!</v>
      </c>
      <c r="G112" s="163" t="s">
        <v>14</v>
      </c>
      <c r="H112" s="279" t="e">
        <f>MEMÓRIA!#REF!</f>
        <v>#REF!</v>
      </c>
      <c r="I112" s="286" t="e">
        <f>MEMÓRIA!#REF!</f>
        <v>#REF!</v>
      </c>
      <c r="J112" s="164">
        <v>31.86</v>
      </c>
      <c r="K112" s="165"/>
    </row>
    <row r="113" spans="2:11">
      <c r="D113" s="278" t="s">
        <v>404</v>
      </c>
      <c r="E113" s="279" t="e">
        <f>MEMÓRIA!#REF!</f>
        <v>#REF!</v>
      </c>
      <c r="F113" s="284" t="e">
        <f>MEMÓRIA!#REF!</f>
        <v>#REF!</v>
      </c>
      <c r="G113" s="163" t="s">
        <v>14</v>
      </c>
      <c r="H113" s="279" t="e">
        <f>MEMÓRIA!#REF!</f>
        <v>#REF!</v>
      </c>
      <c r="I113" s="286" t="e">
        <f>MEMÓRIA!#REF!</f>
        <v>#REF!</v>
      </c>
      <c r="J113" s="164">
        <v>3.09</v>
      </c>
      <c r="K113" s="165"/>
    </row>
    <row r="114" spans="2:11">
      <c r="D114" s="278" t="s">
        <v>405</v>
      </c>
      <c r="E114" s="279" t="e">
        <f>MEMÓRIA!#REF!</f>
        <v>#REF!</v>
      </c>
      <c r="F114" s="284" t="e">
        <f>MEMÓRIA!#REF!</f>
        <v>#REF!</v>
      </c>
      <c r="G114" s="163" t="s">
        <v>14</v>
      </c>
      <c r="H114" s="279" t="e">
        <f>MEMÓRIA!#REF!</f>
        <v>#REF!</v>
      </c>
      <c r="I114" s="286" t="e">
        <f>MEMÓRIA!#REF!</f>
        <v>#REF!</v>
      </c>
      <c r="J114" s="164">
        <v>5.09</v>
      </c>
      <c r="K114" s="165"/>
    </row>
    <row r="115" spans="2:11">
      <c r="D115" s="278" t="s">
        <v>406</v>
      </c>
      <c r="E115" s="279" t="e">
        <f>MEMÓRIA!#REF!</f>
        <v>#REF!</v>
      </c>
      <c r="F115" s="284" t="e">
        <f>MEMÓRIA!#REF!</f>
        <v>#REF!</v>
      </c>
      <c r="G115" s="163" t="s">
        <v>14</v>
      </c>
      <c r="H115" s="279" t="e">
        <f>MEMÓRIA!#REF!</f>
        <v>#REF!</v>
      </c>
      <c r="I115" s="286" t="e">
        <f>MEMÓRIA!#REF!</f>
        <v>#REF!</v>
      </c>
      <c r="J115" s="164">
        <v>5.96</v>
      </c>
      <c r="K115" s="165"/>
    </row>
    <row r="116" spans="2:11">
      <c r="C116" s="134" t="str">
        <f>IF(G116="","",1)</f>
        <v/>
      </c>
      <c r="D116" s="157" t="s">
        <v>407</v>
      </c>
      <c r="E116" s="159"/>
      <c r="F116" s="158" t="s">
        <v>221</v>
      </c>
      <c r="G116" s="158"/>
      <c r="H116" s="158"/>
      <c r="I116" s="160"/>
      <c r="J116" s="160"/>
      <c r="K116" s="160" t="e">
        <f>SUM(K117,K120,K122)</f>
        <v>#REF!</v>
      </c>
    </row>
    <row r="117" spans="2:11">
      <c r="D117" s="157" t="s">
        <v>127</v>
      </c>
      <c r="E117" s="159"/>
      <c r="F117" s="158" t="s">
        <v>349</v>
      </c>
      <c r="G117" s="158"/>
      <c r="H117" s="158"/>
      <c r="I117" s="160"/>
      <c r="J117" s="160"/>
      <c r="K117" s="160">
        <f>SUM(K118:K119)</f>
        <v>0</v>
      </c>
    </row>
    <row r="118" spans="2:11" ht="25.5">
      <c r="B118" s="134" t="s">
        <v>221</v>
      </c>
      <c r="C118" s="134">
        <f>IF(G118="","",1)</f>
        <v>1</v>
      </c>
      <c r="D118" s="278" t="s">
        <v>408</v>
      </c>
      <c r="E118" s="279">
        <f>MEMÓRIA!B166</f>
        <v>88497</v>
      </c>
      <c r="F118" s="284" t="str">
        <f>MEMÓRIA!C166</f>
        <v>EMASSAMENTO COM MASSA LÁTEX, APLICAÇÃO EM PAREDE, DUAS DEMÃOS, LIXAMENTO MANUAL. AF_04/2023</v>
      </c>
      <c r="G118" s="163" t="s">
        <v>14</v>
      </c>
      <c r="H118" s="279" t="str">
        <f>MEMÓRIA!I166</f>
        <v>M2</v>
      </c>
      <c r="I118" s="286">
        <f>MEMÓRIA!H166</f>
        <v>2916.3652999999995</v>
      </c>
      <c r="J118" s="164">
        <v>21.22</v>
      </c>
      <c r="K118" s="165"/>
    </row>
    <row r="119" spans="2:11">
      <c r="B119" s="134" t="s">
        <v>221</v>
      </c>
      <c r="C119" s="134">
        <f>IF(G119="","",1)</f>
        <v>1</v>
      </c>
      <c r="D119" s="278" t="s">
        <v>409</v>
      </c>
      <c r="E119" s="279" t="e">
        <f>MEMÓRIA!#REF!</f>
        <v>#REF!</v>
      </c>
      <c r="F119" s="284" t="e">
        <f>MEMÓRIA!#REF!</f>
        <v>#REF!</v>
      </c>
      <c r="G119" s="163" t="s">
        <v>14</v>
      </c>
      <c r="H119" s="279" t="e">
        <f>MEMÓRIA!#REF!</f>
        <v>#REF!</v>
      </c>
      <c r="I119" s="286" t="e">
        <f>MEMÓRIA!#REF!</f>
        <v>#REF!</v>
      </c>
      <c r="J119" s="164">
        <v>16.3</v>
      </c>
      <c r="K119" s="165"/>
    </row>
    <row r="120" spans="2:11">
      <c r="D120" s="157" t="s">
        <v>128</v>
      </c>
      <c r="E120" s="159"/>
      <c r="F120" s="158" t="s">
        <v>129</v>
      </c>
      <c r="G120" s="158"/>
      <c r="H120" s="158"/>
      <c r="I120" s="160"/>
      <c r="J120" s="160"/>
      <c r="K120" s="160" t="e">
        <f>SUM(K121)</f>
        <v>#REF!</v>
      </c>
    </row>
    <row r="121" spans="2:11">
      <c r="B121" s="134" t="s">
        <v>221</v>
      </c>
      <c r="C121" s="134">
        <f>IF(G121="","",1)</f>
        <v>1</v>
      </c>
      <c r="D121" s="278" t="s">
        <v>410</v>
      </c>
      <c r="E121" s="279" t="e">
        <f>MEMÓRIA!#REF!</f>
        <v>#REF!</v>
      </c>
      <c r="F121" s="284" t="e">
        <f>MEMÓRIA!#REF!</f>
        <v>#REF!</v>
      </c>
      <c r="G121" s="163" t="s">
        <v>14</v>
      </c>
      <c r="H121" s="279" t="e">
        <f>MEMÓRIA!#REF!</f>
        <v>#REF!</v>
      </c>
      <c r="I121" s="286" t="e">
        <f>MEMÓRIA!#REF!</f>
        <v>#REF!</v>
      </c>
      <c r="J121" s="164">
        <v>12.09</v>
      </c>
      <c r="K121" s="165" t="e">
        <f>ROUNDDOWN(I121*J121,2)</f>
        <v>#REF!</v>
      </c>
    </row>
    <row r="122" spans="2:11">
      <c r="D122" s="157" t="s">
        <v>130</v>
      </c>
      <c r="E122" s="159"/>
      <c r="F122" s="158" t="s">
        <v>131</v>
      </c>
      <c r="G122" s="158"/>
      <c r="H122" s="158"/>
      <c r="I122" s="160"/>
      <c r="J122" s="160"/>
      <c r="K122" s="160">
        <f>SUM(K123:K126)</f>
        <v>0</v>
      </c>
    </row>
    <row r="123" spans="2:11">
      <c r="D123" s="278" t="s">
        <v>411</v>
      </c>
      <c r="E123" s="279" t="e">
        <f>MEMÓRIA!#REF!</f>
        <v>#REF!</v>
      </c>
      <c r="F123" s="284" t="e">
        <f>MEMÓRIA!#REF!</f>
        <v>#REF!</v>
      </c>
      <c r="G123" s="163" t="s">
        <v>14</v>
      </c>
      <c r="H123" s="279" t="e">
        <f>MEMÓRIA!#REF!</f>
        <v>#REF!</v>
      </c>
      <c r="I123" s="286" t="e">
        <f>MEMÓRIA!#REF!</f>
        <v>#REF!</v>
      </c>
      <c r="J123" s="164">
        <v>1.62</v>
      </c>
      <c r="K123" s="165"/>
    </row>
    <row r="124" spans="2:11">
      <c r="D124" s="278" t="s">
        <v>412</v>
      </c>
      <c r="E124" s="279" t="e">
        <f>MEMÓRIA!#REF!</f>
        <v>#REF!</v>
      </c>
      <c r="F124" s="284" t="e">
        <f>MEMÓRIA!#REF!</f>
        <v>#REF!</v>
      </c>
      <c r="G124" s="163" t="s">
        <v>14</v>
      </c>
      <c r="H124" s="279" t="e">
        <f>MEMÓRIA!#REF!</f>
        <v>#REF!</v>
      </c>
      <c r="I124" s="286" t="e">
        <f>MEMÓRIA!#REF!</f>
        <v>#REF!</v>
      </c>
      <c r="J124" s="164">
        <v>10.08</v>
      </c>
      <c r="K124" s="165"/>
    </row>
    <row r="125" spans="2:11">
      <c r="D125" s="278" t="s">
        <v>413</v>
      </c>
      <c r="E125" s="279" t="e">
        <f>MEMÓRIA!#REF!</f>
        <v>#REF!</v>
      </c>
      <c r="F125" s="284" t="e">
        <f>MEMÓRIA!#REF!</f>
        <v>#REF!</v>
      </c>
      <c r="G125" s="163" t="s">
        <v>14</v>
      </c>
      <c r="H125" s="279" t="e">
        <f>MEMÓRIA!#REF!</f>
        <v>#REF!</v>
      </c>
      <c r="I125" s="286" t="e">
        <f>MEMÓRIA!#REF!</f>
        <v>#REF!</v>
      </c>
      <c r="J125" s="164">
        <v>9.6</v>
      </c>
      <c r="K125" s="165"/>
    </row>
    <row r="126" spans="2:11">
      <c r="B126" s="134" t="s">
        <v>221</v>
      </c>
      <c r="C126" s="134">
        <v>1</v>
      </c>
      <c r="D126" s="278" t="s">
        <v>414</v>
      </c>
      <c r="E126" s="279" t="e">
        <f>MEMÓRIA!#REF!</f>
        <v>#REF!</v>
      </c>
      <c r="F126" s="284" t="e">
        <f>MEMÓRIA!#REF!</f>
        <v>#REF!</v>
      </c>
      <c r="G126" s="163" t="s">
        <v>14</v>
      </c>
      <c r="H126" s="279" t="e">
        <f>MEMÓRIA!#REF!</f>
        <v>#REF!</v>
      </c>
      <c r="I126" s="286" t="e">
        <f>MEMÓRIA!#REF!</f>
        <v>#REF!</v>
      </c>
      <c r="J126" s="164"/>
      <c r="K126" s="165"/>
    </row>
    <row r="127" spans="2:11">
      <c r="C127" s="134" t="str">
        <f>IF(G127="","",1)</f>
        <v/>
      </c>
      <c r="D127" s="157" t="s">
        <v>415</v>
      </c>
      <c r="E127" s="159"/>
      <c r="F127" s="158" t="s">
        <v>132</v>
      </c>
      <c r="G127" s="158"/>
      <c r="H127" s="158"/>
      <c r="I127" s="160"/>
      <c r="J127" s="160"/>
      <c r="K127" s="160" t="e">
        <f>SUM(K128:K134)</f>
        <v>#REF!</v>
      </c>
    </row>
    <row r="128" spans="2:11" ht="25.5">
      <c r="B128" s="134" t="s">
        <v>226</v>
      </c>
      <c r="C128" s="134">
        <v>1</v>
      </c>
      <c r="D128" s="278" t="s">
        <v>416</v>
      </c>
      <c r="E128" s="279" t="str">
        <f>MEMÓRIA!B212</f>
        <v>CPU_MCR.007</v>
      </c>
      <c r="F128" s="284" t="str">
        <f>MEMÓRIA!C212</f>
        <v>JANELA DE ALUMÍNIO - JA-1 - 210 X 130 CM COMPLETA, CONFORME PROJETO DE ESQUADRIAS - GUILHOTINA - INCLUSO VIDRO (UN)</v>
      </c>
      <c r="G128" s="163" t="s">
        <v>14</v>
      </c>
      <c r="H128" s="279" t="str">
        <f>MEMÓRIA!I212</f>
        <v>UND</v>
      </c>
      <c r="I128" s="285">
        <f>MEMÓRIA!H212</f>
        <v>2</v>
      </c>
      <c r="J128" s="164">
        <v>397.42</v>
      </c>
      <c r="K128" s="165">
        <f>ROUNDDOWN(I128*J128,2)</f>
        <v>794.84</v>
      </c>
    </row>
    <row r="129" spans="2:11" ht="25.5">
      <c r="B129" s="134" t="s">
        <v>226</v>
      </c>
      <c r="C129" s="134">
        <v>1</v>
      </c>
      <c r="D129" s="278" t="s">
        <v>417</v>
      </c>
      <c r="E129" s="279" t="str">
        <f>MEMÓRIA!B213</f>
        <v>CPU_MCR.008</v>
      </c>
      <c r="F129" s="284" t="str">
        <f>MEMÓRIA!C213</f>
        <v>JANELA DE ALUMÍNIO - JA-2 - 150 X 140 CM COMPLETA, CONFORME PROJETO DE ESQUADRIAS - CORRER - INCLUSO VIDRO (UN)</v>
      </c>
      <c r="G129" s="163" t="s">
        <v>14</v>
      </c>
      <c r="H129" s="279" t="str">
        <f>MEMÓRIA!I213</f>
        <v>UND</v>
      </c>
      <c r="I129" s="285">
        <f>MEMÓRIA!H213</f>
        <v>3</v>
      </c>
      <c r="J129" s="164">
        <v>412.38</v>
      </c>
      <c r="K129" s="165">
        <f t="shared" ref="K129:K133" si="5">ROUNDDOWN(I129*J129,2)</f>
        <v>1237.1400000000001</v>
      </c>
    </row>
    <row r="130" spans="2:11" ht="38.25">
      <c r="D130" s="278" t="s">
        <v>418</v>
      </c>
      <c r="E130" s="279" t="str">
        <f>MEMÓRIA!B214</f>
        <v>CPU_MCR.009</v>
      </c>
      <c r="F130" s="284" t="str">
        <f>MEMÓRIA!C214</f>
        <v>JANELA DE ALUMÍNIO - JA-3 - 280 X 205 CM COMPLETA, CONFORME PROJETO DE ESQUADRIAS - CORRER COM BANDEIRA - INCLUSO VIDRO</v>
      </c>
      <c r="G130" s="163" t="s">
        <v>14</v>
      </c>
      <c r="H130" s="279" t="str">
        <f>MEMÓRIA!I214</f>
        <v>UND</v>
      </c>
      <c r="I130" s="285">
        <f>MEMÓRIA!H214</f>
        <v>1</v>
      </c>
      <c r="J130" s="164">
        <v>246.04</v>
      </c>
      <c r="K130" s="165">
        <f t="shared" si="5"/>
        <v>246.04</v>
      </c>
    </row>
    <row r="131" spans="2:11" ht="38.25">
      <c r="D131" s="278" t="s">
        <v>419</v>
      </c>
      <c r="E131" s="279" t="str">
        <f>MEMÓRIA!B215</f>
        <v>CPU_MCR.010</v>
      </c>
      <c r="F131" s="284" t="str">
        <f>MEMÓRIA!C215</f>
        <v>JANELA DE ALUMÍNIO - JA-4 - 280 X 185 CM COMPLETA, CONFORME PROJETO DE ESQUADRIAS - CORRER COM BANDEIRA - INCLUSO VIDRO MONILÍTICO (UN)</v>
      </c>
      <c r="G131" s="163" t="s">
        <v>14</v>
      </c>
      <c r="H131" s="279" t="str">
        <f>MEMÓRIA!I215</f>
        <v>UND</v>
      </c>
      <c r="I131" s="285">
        <f>MEMÓRIA!H215</f>
        <v>4</v>
      </c>
      <c r="J131" s="164">
        <v>284.02999999999997</v>
      </c>
      <c r="K131" s="165">
        <f t="shared" si="5"/>
        <v>1136.1199999999999</v>
      </c>
    </row>
    <row r="132" spans="2:11" ht="38.25">
      <c r="D132" s="278" t="s">
        <v>420</v>
      </c>
      <c r="E132" s="279" t="str">
        <f>MEMÓRIA!B216</f>
        <v>CPU_MCR.011</v>
      </c>
      <c r="F132" s="284" t="str">
        <f>MEMÓRIA!C216</f>
        <v>JANELA DE ALUMÍNIO - JA-5 - 350 X 185 CM COMPLETA, CONFORME PROJETO DE ESQUADRIAS - CORRER COM BANDEIRA - INCLUSO VIDRO(UN)</v>
      </c>
      <c r="G132" s="163" t="s">
        <v>14</v>
      </c>
      <c r="H132" s="279" t="str">
        <f>MEMÓRIA!I216</f>
        <v>UND</v>
      </c>
      <c r="I132" s="285">
        <f>MEMÓRIA!H216</f>
        <v>3</v>
      </c>
      <c r="J132" s="164">
        <v>232.38</v>
      </c>
      <c r="K132" s="165">
        <f t="shared" si="5"/>
        <v>697.14</v>
      </c>
    </row>
    <row r="133" spans="2:11">
      <c r="D133" s="278" t="s">
        <v>421</v>
      </c>
      <c r="E133" s="293" t="e">
        <f>MEMÓRIA!#REF!</f>
        <v>#REF!</v>
      </c>
      <c r="F133" s="284" t="e">
        <f>MEMÓRIA!#REF!</f>
        <v>#REF!</v>
      </c>
      <c r="G133" s="163" t="s">
        <v>14</v>
      </c>
      <c r="H133" s="279" t="e">
        <f>MEMÓRIA!#REF!</f>
        <v>#REF!</v>
      </c>
      <c r="I133" s="286" t="e">
        <f>MEMÓRIA!#REF!</f>
        <v>#REF!</v>
      </c>
      <c r="J133" s="164">
        <v>114.46</v>
      </c>
      <c r="K133" s="165" t="e">
        <f t="shared" si="5"/>
        <v>#REF!</v>
      </c>
    </row>
    <row r="134" spans="2:11">
      <c r="D134" s="278" t="s">
        <v>422</v>
      </c>
      <c r="E134" s="293" t="e">
        <f>MEMÓRIA!#REF!</f>
        <v>#REF!</v>
      </c>
      <c r="F134" s="284" t="e">
        <f>MEMÓRIA!#REF!</f>
        <v>#REF!</v>
      </c>
      <c r="G134" s="163" t="s">
        <v>14</v>
      </c>
      <c r="H134" s="279" t="e">
        <f>MEMÓRIA!#REF!</f>
        <v>#REF!</v>
      </c>
      <c r="I134" s="286" t="e">
        <f>MEMÓRIA!#REF!</f>
        <v>#REF!</v>
      </c>
      <c r="J134" s="164"/>
      <c r="K134" s="165"/>
    </row>
    <row r="135" spans="2:11">
      <c r="D135" s="157" t="s">
        <v>423</v>
      </c>
      <c r="E135" s="159"/>
      <c r="F135" s="158" t="s">
        <v>353</v>
      </c>
      <c r="G135" s="158"/>
      <c r="H135" s="158"/>
      <c r="I135" s="160"/>
      <c r="J135" s="160"/>
      <c r="K135" s="160" t="e">
        <f>SUM(K136)</f>
        <v>#REF!</v>
      </c>
    </row>
    <row r="136" spans="2:11">
      <c r="D136" s="157" t="s">
        <v>424</v>
      </c>
      <c r="E136" s="159"/>
      <c r="F136" s="158" t="s">
        <v>354</v>
      </c>
      <c r="G136" s="158"/>
      <c r="H136" s="158"/>
      <c r="I136" s="160"/>
      <c r="J136" s="160"/>
      <c r="K136" s="160" t="e">
        <f>SUM(K137:K142)</f>
        <v>#REF!</v>
      </c>
    </row>
    <row r="137" spans="2:11">
      <c r="D137" s="278" t="s">
        <v>425</v>
      </c>
      <c r="E137" s="296" t="e">
        <f>MEMÓRIA!#REF!</f>
        <v>#REF!</v>
      </c>
      <c r="F137" s="284" t="e">
        <f>MEMÓRIA!#REF!</f>
        <v>#REF!</v>
      </c>
      <c r="G137" s="163" t="s">
        <v>14</v>
      </c>
      <c r="H137" s="279" t="e">
        <f>MEMÓRIA!#REF!</f>
        <v>#REF!</v>
      </c>
      <c r="I137" s="285" t="e">
        <f>MEMÓRIA!#REF!</f>
        <v>#REF!</v>
      </c>
      <c r="J137" s="164">
        <v>46.53</v>
      </c>
      <c r="K137" s="165" t="e">
        <f t="shared" ref="K137:K166" si="6">ROUNDDOWN(I137*J137,2)</f>
        <v>#REF!</v>
      </c>
    </row>
    <row r="138" spans="2:11">
      <c r="D138" s="278" t="s">
        <v>426</v>
      </c>
      <c r="E138" s="293" t="e">
        <f>MEMÓRIA!#REF!</f>
        <v>#REF!</v>
      </c>
      <c r="F138" s="284" t="e">
        <f>MEMÓRIA!#REF!</f>
        <v>#REF!</v>
      </c>
      <c r="G138" s="163" t="s">
        <v>14</v>
      </c>
      <c r="H138" s="279" t="e">
        <f>MEMÓRIA!#REF!</f>
        <v>#REF!</v>
      </c>
      <c r="I138" s="285" t="e">
        <f>MEMÓRIA!#REF!</f>
        <v>#REF!</v>
      </c>
      <c r="J138" s="164"/>
      <c r="K138" s="165" t="e">
        <f t="shared" si="6"/>
        <v>#REF!</v>
      </c>
    </row>
    <row r="139" spans="2:11" ht="30" customHeight="1">
      <c r="D139" s="278" t="s">
        <v>427</v>
      </c>
      <c r="E139" s="293" t="e">
        <f>MEMÓRIA!#REF!</f>
        <v>#REF!</v>
      </c>
      <c r="F139" s="284" t="e">
        <f>MEMÓRIA!#REF!</f>
        <v>#REF!</v>
      </c>
      <c r="G139" s="163" t="s">
        <v>14</v>
      </c>
      <c r="H139" s="279" t="e">
        <f>MEMÓRIA!#REF!</f>
        <v>#REF!</v>
      </c>
      <c r="I139" s="285" t="e">
        <f>MEMÓRIA!#REF!</f>
        <v>#REF!</v>
      </c>
      <c r="J139" s="164">
        <v>56.96</v>
      </c>
      <c r="K139" s="165" t="e">
        <f t="shared" si="6"/>
        <v>#REF!</v>
      </c>
    </row>
    <row r="140" spans="2:11">
      <c r="D140" s="278" t="s">
        <v>428</v>
      </c>
      <c r="E140" s="293" t="e">
        <f>MEMÓRIA!#REF!</f>
        <v>#REF!</v>
      </c>
      <c r="F140" s="284" t="e">
        <f>MEMÓRIA!#REF!</f>
        <v>#REF!</v>
      </c>
      <c r="G140" s="163" t="s">
        <v>14</v>
      </c>
      <c r="H140" s="279" t="e">
        <f>MEMÓRIA!#REF!</f>
        <v>#REF!</v>
      </c>
      <c r="I140" s="285" t="e">
        <f>MEMÓRIA!#REF!</f>
        <v>#REF!</v>
      </c>
      <c r="J140" s="164">
        <v>25.54</v>
      </c>
      <c r="K140" s="165" t="e">
        <f t="shared" si="6"/>
        <v>#REF!</v>
      </c>
    </row>
    <row r="141" spans="2:11">
      <c r="D141" s="278" t="s">
        <v>429</v>
      </c>
      <c r="E141" s="293" t="e">
        <f>MEMÓRIA!#REF!</f>
        <v>#REF!</v>
      </c>
      <c r="F141" s="284" t="e">
        <f>MEMÓRIA!#REF!</f>
        <v>#REF!</v>
      </c>
      <c r="G141" s="163" t="s">
        <v>14</v>
      </c>
      <c r="H141" s="279" t="e">
        <f>MEMÓRIA!#REF!</f>
        <v>#REF!</v>
      </c>
      <c r="I141" s="285" t="e">
        <f>MEMÓRIA!#REF!</f>
        <v>#REF!</v>
      </c>
      <c r="J141" s="164"/>
      <c r="K141" s="165" t="e">
        <f t="shared" si="6"/>
        <v>#REF!</v>
      </c>
    </row>
    <row r="142" spans="2:11">
      <c r="D142" s="278" t="s">
        <v>430</v>
      </c>
      <c r="E142" s="293" t="e">
        <f>MEMÓRIA!#REF!</f>
        <v>#REF!</v>
      </c>
      <c r="F142" s="284" t="e">
        <f>MEMÓRIA!#REF!</f>
        <v>#REF!</v>
      </c>
      <c r="G142" s="163" t="s">
        <v>14</v>
      </c>
      <c r="H142" s="279" t="e">
        <f>MEMÓRIA!#REF!</f>
        <v>#REF!</v>
      </c>
      <c r="I142" s="285" t="e">
        <f>MEMÓRIA!#REF!</f>
        <v>#REF!</v>
      </c>
      <c r="J142" s="164"/>
      <c r="K142" s="165" t="e">
        <f t="shared" si="6"/>
        <v>#REF!</v>
      </c>
    </row>
    <row r="143" spans="2:11">
      <c r="D143" s="157" t="s">
        <v>431</v>
      </c>
      <c r="E143" s="159"/>
      <c r="F143" s="158" t="s">
        <v>134</v>
      </c>
      <c r="G143" s="158"/>
      <c r="H143" s="158"/>
      <c r="I143" s="160"/>
      <c r="J143" s="160"/>
      <c r="K143" s="160" t="e">
        <f>SUM(K144:K166)</f>
        <v>#REF!</v>
      </c>
    </row>
    <row r="144" spans="2:11">
      <c r="D144" s="301" t="s">
        <v>432</v>
      </c>
      <c r="E144" s="293" t="e">
        <f>MEMÓRIA!#REF!</f>
        <v>#REF!</v>
      </c>
      <c r="F144" s="284" t="e">
        <f>MEMÓRIA!#REF!</f>
        <v>#REF!</v>
      </c>
      <c r="G144" s="163" t="s">
        <v>14</v>
      </c>
      <c r="H144" s="279" t="e">
        <f>MEMÓRIA!#REF!</f>
        <v>#REF!</v>
      </c>
      <c r="I144" s="285" t="e">
        <f>MEMÓRIA!#REF!</f>
        <v>#REF!</v>
      </c>
      <c r="J144" s="291">
        <v>452.93</v>
      </c>
      <c r="K144" s="165" t="e">
        <f t="shared" si="6"/>
        <v>#REF!</v>
      </c>
    </row>
    <row r="145" spans="4:11">
      <c r="D145" s="301" t="s">
        <v>433</v>
      </c>
      <c r="E145" s="296" t="e">
        <f>MEMÓRIA!#REF!</f>
        <v>#REF!</v>
      </c>
      <c r="F145" s="284" t="e">
        <f>MEMÓRIA!#REF!</f>
        <v>#REF!</v>
      </c>
      <c r="G145" s="163" t="s">
        <v>14</v>
      </c>
      <c r="H145" s="279" t="e">
        <f>MEMÓRIA!#REF!</f>
        <v>#REF!</v>
      </c>
      <c r="I145" s="285" t="e">
        <f>MEMÓRIA!#REF!</f>
        <v>#REF!</v>
      </c>
      <c r="J145" s="291">
        <v>535.04999999999995</v>
      </c>
      <c r="K145" s="165" t="e">
        <f t="shared" si="6"/>
        <v>#REF!</v>
      </c>
    </row>
    <row r="146" spans="4:11">
      <c r="D146" s="301" t="s">
        <v>434</v>
      </c>
      <c r="E146" s="296" t="e">
        <f>MEMÓRIA!#REF!</f>
        <v>#REF!</v>
      </c>
      <c r="F146" s="284" t="e">
        <f>MEMÓRIA!#REF!</f>
        <v>#REF!</v>
      </c>
      <c r="G146" s="163" t="s">
        <v>14</v>
      </c>
      <c r="H146" s="279" t="e">
        <f>MEMÓRIA!#REF!</f>
        <v>#REF!</v>
      </c>
      <c r="I146" s="285" t="e">
        <f>MEMÓRIA!#REF!</f>
        <v>#REF!</v>
      </c>
      <c r="J146" s="291">
        <v>7.71</v>
      </c>
      <c r="K146" s="165" t="e">
        <f t="shared" si="6"/>
        <v>#REF!</v>
      </c>
    </row>
    <row r="147" spans="4:11">
      <c r="D147" s="301" t="s">
        <v>435</v>
      </c>
      <c r="E147" s="296" t="e">
        <f>MEMÓRIA!#REF!</f>
        <v>#REF!</v>
      </c>
      <c r="F147" s="284" t="e">
        <f>MEMÓRIA!#REF!</f>
        <v>#REF!</v>
      </c>
      <c r="G147" s="163" t="s">
        <v>14</v>
      </c>
      <c r="H147" s="279" t="e">
        <f>MEMÓRIA!#REF!</f>
        <v>#REF!</v>
      </c>
      <c r="I147" s="285" t="e">
        <f>MEMÓRIA!#REF!</f>
        <v>#REF!</v>
      </c>
      <c r="J147" s="291">
        <v>20.82</v>
      </c>
      <c r="K147" s="165" t="e">
        <f t="shared" si="6"/>
        <v>#REF!</v>
      </c>
    </row>
    <row r="148" spans="4:11">
      <c r="D148" s="301" t="s">
        <v>436</v>
      </c>
      <c r="E148" s="296" t="e">
        <f>MEMÓRIA!#REF!</f>
        <v>#REF!</v>
      </c>
      <c r="F148" s="284" t="e">
        <f>MEMÓRIA!#REF!</f>
        <v>#REF!</v>
      </c>
      <c r="G148" s="163" t="s">
        <v>14</v>
      </c>
      <c r="H148" s="279" t="e">
        <f>MEMÓRIA!#REF!</f>
        <v>#REF!</v>
      </c>
      <c r="I148" s="285" t="e">
        <f>MEMÓRIA!#REF!</f>
        <v>#REF!</v>
      </c>
      <c r="J148" s="291">
        <v>31</v>
      </c>
      <c r="K148" s="165" t="e">
        <f t="shared" si="6"/>
        <v>#REF!</v>
      </c>
    </row>
    <row r="149" spans="4:11">
      <c r="D149" s="301" t="s">
        <v>437</v>
      </c>
      <c r="E149" s="296" t="e">
        <f>MEMÓRIA!#REF!</f>
        <v>#REF!</v>
      </c>
      <c r="F149" s="284" t="e">
        <f>MEMÓRIA!#REF!</f>
        <v>#REF!</v>
      </c>
      <c r="G149" s="163" t="s">
        <v>14</v>
      </c>
      <c r="H149" s="279" t="e">
        <f>MEMÓRIA!#REF!</f>
        <v>#REF!</v>
      </c>
      <c r="I149" s="285" t="e">
        <f>MEMÓRIA!#REF!</f>
        <v>#REF!</v>
      </c>
      <c r="J149" s="291">
        <v>326.37</v>
      </c>
      <c r="K149" s="165" t="e">
        <f t="shared" si="6"/>
        <v>#REF!</v>
      </c>
    </row>
    <row r="150" spans="4:11">
      <c r="D150" s="301" t="s">
        <v>438</v>
      </c>
      <c r="E150" s="296" t="e">
        <f>MEMÓRIA!#REF!</f>
        <v>#REF!</v>
      </c>
      <c r="F150" s="284" t="e">
        <f>MEMÓRIA!#REF!</f>
        <v>#REF!</v>
      </c>
      <c r="G150" s="163" t="s">
        <v>14</v>
      </c>
      <c r="H150" s="279" t="e">
        <f>MEMÓRIA!#REF!</f>
        <v>#REF!</v>
      </c>
      <c r="I150" s="285" t="e">
        <f>MEMÓRIA!#REF!</f>
        <v>#REF!</v>
      </c>
      <c r="J150" s="291">
        <v>162.22</v>
      </c>
      <c r="K150" s="165" t="e">
        <f t="shared" si="6"/>
        <v>#REF!</v>
      </c>
    </row>
    <row r="151" spans="4:11">
      <c r="D151" s="301" t="s">
        <v>439</v>
      </c>
      <c r="E151" s="293" t="e">
        <f>MEMÓRIA!#REF!</f>
        <v>#REF!</v>
      </c>
      <c r="F151" s="284" t="e">
        <f>MEMÓRIA!#REF!</f>
        <v>#REF!</v>
      </c>
      <c r="G151" s="163" t="s">
        <v>14</v>
      </c>
      <c r="H151" s="279" t="e">
        <f>MEMÓRIA!#REF!</f>
        <v>#REF!</v>
      </c>
      <c r="I151" s="285" t="e">
        <f>MEMÓRIA!#REF!</f>
        <v>#REF!</v>
      </c>
      <c r="J151" s="291">
        <v>48.84</v>
      </c>
      <c r="K151" s="165" t="e">
        <f t="shared" si="6"/>
        <v>#REF!</v>
      </c>
    </row>
    <row r="152" spans="4:11">
      <c r="D152" s="301" t="s">
        <v>440</v>
      </c>
      <c r="E152" s="293" t="e">
        <f>MEMÓRIA!#REF!</f>
        <v>#REF!</v>
      </c>
      <c r="F152" s="284" t="e">
        <f>MEMÓRIA!#REF!</f>
        <v>#REF!</v>
      </c>
      <c r="G152" s="163" t="s">
        <v>14</v>
      </c>
      <c r="H152" s="279" t="e">
        <f>MEMÓRIA!#REF!</f>
        <v>#REF!</v>
      </c>
      <c r="I152" s="285" t="e">
        <f>MEMÓRIA!#REF!</f>
        <v>#REF!</v>
      </c>
      <c r="J152" s="291"/>
      <c r="K152" s="165" t="e">
        <f t="shared" si="6"/>
        <v>#REF!</v>
      </c>
    </row>
    <row r="153" spans="4:11">
      <c r="D153" s="301" t="s">
        <v>441</v>
      </c>
      <c r="E153" s="293" t="e">
        <f>MEMÓRIA!#REF!</f>
        <v>#REF!</v>
      </c>
      <c r="F153" s="303" t="e">
        <f>MEMÓRIA!#REF!</f>
        <v>#REF!</v>
      </c>
      <c r="G153" s="163" t="s">
        <v>14</v>
      </c>
      <c r="H153" s="279" t="e">
        <f>MEMÓRIA!#REF!</f>
        <v>#REF!</v>
      </c>
      <c r="I153" s="285" t="e">
        <f>MEMÓRIA!#REF!</f>
        <v>#REF!</v>
      </c>
      <c r="J153" s="291">
        <v>38.94</v>
      </c>
      <c r="K153" s="165" t="e">
        <f t="shared" si="6"/>
        <v>#REF!</v>
      </c>
    </row>
    <row r="154" spans="4:11">
      <c r="D154" s="301" t="s">
        <v>442</v>
      </c>
      <c r="E154" s="293" t="e">
        <f>MEMÓRIA!#REF!</f>
        <v>#REF!</v>
      </c>
      <c r="F154" s="303" t="e">
        <f>MEMÓRIA!#REF!</f>
        <v>#REF!</v>
      </c>
      <c r="G154" s="163" t="s">
        <v>14</v>
      </c>
      <c r="H154" s="279" t="e">
        <f>MEMÓRIA!#REF!</f>
        <v>#REF!</v>
      </c>
      <c r="I154" s="285" t="e">
        <f>MEMÓRIA!#REF!</f>
        <v>#REF!</v>
      </c>
      <c r="J154" s="291">
        <v>56.21</v>
      </c>
      <c r="K154" s="165" t="e">
        <f t="shared" si="6"/>
        <v>#REF!</v>
      </c>
    </row>
    <row r="155" spans="4:11">
      <c r="D155" s="301" t="s">
        <v>443</v>
      </c>
      <c r="E155" s="293" t="e">
        <f>MEMÓRIA!#REF!</f>
        <v>#REF!</v>
      </c>
      <c r="F155" s="295" t="e">
        <f>MEMÓRIA!#REF!</f>
        <v>#REF!</v>
      </c>
      <c r="G155" s="290"/>
      <c r="H155" s="294" t="e">
        <f>MEMÓRIA!#REF!</f>
        <v>#REF!</v>
      </c>
      <c r="I155" s="297" t="e">
        <f>MEMÓRIA!#REF!</f>
        <v>#REF!</v>
      </c>
      <c r="J155" s="291"/>
      <c r="K155" s="165" t="e">
        <f t="shared" si="6"/>
        <v>#REF!</v>
      </c>
    </row>
    <row r="156" spans="4:11">
      <c r="D156" s="301" t="s">
        <v>444</v>
      </c>
      <c r="E156" s="293" t="e">
        <f>MEMÓRIA!#REF!</f>
        <v>#REF!</v>
      </c>
      <c r="F156" s="295" t="e">
        <f>MEMÓRIA!#REF!</f>
        <v>#REF!</v>
      </c>
      <c r="G156" s="290"/>
      <c r="H156" s="294" t="e">
        <f>MEMÓRIA!#REF!</f>
        <v>#REF!</v>
      </c>
      <c r="I156" s="297" t="e">
        <f>MEMÓRIA!#REF!</f>
        <v>#REF!</v>
      </c>
      <c r="J156" s="291"/>
      <c r="K156" s="165" t="e">
        <f t="shared" si="6"/>
        <v>#REF!</v>
      </c>
    </row>
    <row r="157" spans="4:11">
      <c r="D157" s="301" t="s">
        <v>445</v>
      </c>
      <c r="E157" s="296" t="e">
        <f>MEMÓRIA!#REF!</f>
        <v>#REF!</v>
      </c>
      <c r="F157" s="295" t="e">
        <f>MEMÓRIA!#REF!</f>
        <v>#REF!</v>
      </c>
      <c r="G157" s="290"/>
      <c r="H157" s="294" t="e">
        <f>MEMÓRIA!#REF!</f>
        <v>#REF!</v>
      </c>
      <c r="I157" s="297" t="e">
        <f>MEMÓRIA!#REF!</f>
        <v>#REF!</v>
      </c>
      <c r="J157" s="291">
        <v>580.17999999999995</v>
      </c>
      <c r="K157" s="165" t="e">
        <f t="shared" si="6"/>
        <v>#REF!</v>
      </c>
    </row>
    <row r="158" spans="4:11">
      <c r="D158" s="301" t="s">
        <v>446</v>
      </c>
      <c r="E158" s="293" t="e">
        <f>MEMÓRIA!#REF!</f>
        <v>#REF!</v>
      </c>
      <c r="F158" s="295" t="e">
        <f>MEMÓRIA!#REF!</f>
        <v>#REF!</v>
      </c>
      <c r="G158" s="290"/>
      <c r="H158" s="294" t="e">
        <f>MEMÓRIA!#REF!</f>
        <v>#REF!</v>
      </c>
      <c r="I158" s="297" t="e">
        <f>MEMÓRIA!#REF!</f>
        <v>#REF!</v>
      </c>
      <c r="J158" s="291"/>
      <c r="K158" s="165" t="e">
        <f t="shared" si="6"/>
        <v>#REF!</v>
      </c>
    </row>
    <row r="159" spans="4:11">
      <c r="D159" s="301" t="s">
        <v>447</v>
      </c>
      <c r="E159" s="293" t="e">
        <f>MEMÓRIA!#REF!</f>
        <v>#REF!</v>
      </c>
      <c r="F159" s="295" t="e">
        <f>MEMÓRIA!#REF!</f>
        <v>#REF!</v>
      </c>
      <c r="G159" s="290"/>
      <c r="H159" s="294" t="e">
        <f>MEMÓRIA!#REF!</f>
        <v>#REF!</v>
      </c>
      <c r="I159" s="297" t="e">
        <f>MEMÓRIA!#REF!</f>
        <v>#REF!</v>
      </c>
      <c r="J159" s="291"/>
      <c r="K159" s="165" t="e">
        <f t="shared" si="6"/>
        <v>#REF!</v>
      </c>
    </row>
    <row r="160" spans="4:11">
      <c r="D160" s="301" t="s">
        <v>448</v>
      </c>
      <c r="E160" s="293" t="e">
        <f>MEMÓRIA!#REF!</f>
        <v>#REF!</v>
      </c>
      <c r="F160" s="295" t="e">
        <f>MEMÓRIA!#REF!</f>
        <v>#REF!</v>
      </c>
      <c r="G160" s="290"/>
      <c r="H160" s="294" t="e">
        <f>MEMÓRIA!#REF!</f>
        <v>#REF!</v>
      </c>
      <c r="I160" s="297" t="e">
        <f>MEMÓRIA!#REF!</f>
        <v>#REF!</v>
      </c>
      <c r="J160" s="291"/>
      <c r="K160" s="165" t="e">
        <f t="shared" si="6"/>
        <v>#REF!</v>
      </c>
    </row>
    <row r="161" spans="4:11">
      <c r="D161" s="301" t="s">
        <v>449</v>
      </c>
      <c r="E161" s="293" t="e">
        <f>MEMÓRIA!#REF!</f>
        <v>#REF!</v>
      </c>
      <c r="F161" s="295" t="e">
        <f>MEMÓRIA!#REF!</f>
        <v>#REF!</v>
      </c>
      <c r="G161" s="290"/>
      <c r="H161" s="294" t="e">
        <f>MEMÓRIA!#REF!</f>
        <v>#REF!</v>
      </c>
      <c r="I161" s="297" t="e">
        <f>MEMÓRIA!#REF!</f>
        <v>#REF!</v>
      </c>
      <c r="J161" s="291"/>
      <c r="K161" s="165" t="e">
        <f t="shared" si="6"/>
        <v>#REF!</v>
      </c>
    </row>
    <row r="162" spans="4:11">
      <c r="D162" s="301" t="s">
        <v>450</v>
      </c>
      <c r="E162" s="293" t="e">
        <f>MEMÓRIA!#REF!</f>
        <v>#REF!</v>
      </c>
      <c r="F162" s="295" t="e">
        <f>MEMÓRIA!#REF!</f>
        <v>#REF!</v>
      </c>
      <c r="G162" s="290"/>
      <c r="H162" s="294" t="e">
        <f>MEMÓRIA!#REF!</f>
        <v>#REF!</v>
      </c>
      <c r="I162" s="297" t="e">
        <f>MEMÓRIA!#REF!</f>
        <v>#REF!</v>
      </c>
      <c r="J162" s="291"/>
      <c r="K162" s="165" t="e">
        <f t="shared" si="6"/>
        <v>#REF!</v>
      </c>
    </row>
    <row r="163" spans="4:11">
      <c r="D163" s="301" t="s">
        <v>451</v>
      </c>
      <c r="E163" s="293" t="e">
        <f>MEMÓRIA!#REF!</f>
        <v>#REF!</v>
      </c>
      <c r="F163" s="295" t="e">
        <f>MEMÓRIA!#REF!</f>
        <v>#REF!</v>
      </c>
      <c r="G163" s="290"/>
      <c r="H163" s="294" t="e">
        <f>MEMÓRIA!#REF!</f>
        <v>#REF!</v>
      </c>
      <c r="I163" s="297" t="e">
        <f>MEMÓRIA!#REF!</f>
        <v>#REF!</v>
      </c>
      <c r="J163" s="291"/>
      <c r="K163" s="165" t="e">
        <f t="shared" si="6"/>
        <v>#REF!</v>
      </c>
    </row>
    <row r="164" spans="4:11">
      <c r="D164" s="301" t="s">
        <v>452</v>
      </c>
      <c r="E164" s="296" t="e">
        <f>MEMÓRIA!#REF!</f>
        <v>#REF!</v>
      </c>
      <c r="F164" s="295" t="e">
        <f>MEMÓRIA!#REF!</f>
        <v>#REF!</v>
      </c>
      <c r="G164" s="290"/>
      <c r="H164" s="294" t="e">
        <f>MEMÓRIA!#REF!</f>
        <v>#REF!</v>
      </c>
      <c r="I164" s="297" t="e">
        <f>MEMÓRIA!#REF!</f>
        <v>#REF!</v>
      </c>
      <c r="J164" s="291">
        <v>38.04</v>
      </c>
      <c r="K164" s="165" t="e">
        <f t="shared" si="6"/>
        <v>#REF!</v>
      </c>
    </row>
    <row r="165" spans="4:11">
      <c r="D165" s="301" t="s">
        <v>453</v>
      </c>
      <c r="E165" s="296" t="e">
        <f>MEMÓRIA!#REF!</f>
        <v>#REF!</v>
      </c>
      <c r="F165" s="295" t="e">
        <f>MEMÓRIA!#REF!</f>
        <v>#REF!</v>
      </c>
      <c r="G165" s="290"/>
      <c r="H165" s="294" t="e">
        <f>MEMÓRIA!#REF!</f>
        <v>#REF!</v>
      </c>
      <c r="I165" s="297" t="e">
        <f>MEMÓRIA!#REF!</f>
        <v>#REF!</v>
      </c>
      <c r="J165" s="291">
        <v>76.510000000000005</v>
      </c>
      <c r="K165" s="165" t="e">
        <f t="shared" si="6"/>
        <v>#REF!</v>
      </c>
    </row>
    <row r="166" spans="4:11">
      <c r="D166" s="301" t="s">
        <v>454</v>
      </c>
      <c r="E166" s="293" t="e">
        <f>MEMÓRIA!#REF!</f>
        <v>#REF!</v>
      </c>
      <c r="F166" s="295" t="e">
        <f>MEMÓRIA!#REF!</f>
        <v>#REF!</v>
      </c>
      <c r="G166" s="290"/>
      <c r="H166" s="294" t="e">
        <f>MEMÓRIA!#REF!</f>
        <v>#REF!</v>
      </c>
      <c r="I166" s="297" t="e">
        <f>MEMÓRIA!#REF!</f>
        <v>#REF!</v>
      </c>
      <c r="J166" s="291"/>
      <c r="K166" s="165" t="e">
        <f t="shared" si="6"/>
        <v>#REF!</v>
      </c>
    </row>
    <row r="167" spans="4:11">
      <c r="D167" s="157" t="s">
        <v>455</v>
      </c>
      <c r="E167" s="159"/>
      <c r="F167" s="158" t="s">
        <v>351</v>
      </c>
      <c r="G167" s="158"/>
      <c r="H167" s="158"/>
      <c r="I167" s="160"/>
      <c r="J167" s="160"/>
      <c r="K167" s="160" t="e">
        <f>SUM(K168)</f>
        <v>#REF!</v>
      </c>
    </row>
    <row r="168" spans="4:11">
      <c r="D168" s="157" t="s">
        <v>456</v>
      </c>
      <c r="E168" s="159"/>
      <c r="F168" s="158" t="s">
        <v>352</v>
      </c>
      <c r="G168" s="158"/>
      <c r="H168" s="158"/>
      <c r="I168" s="160"/>
      <c r="J168" s="160"/>
      <c r="K168" s="160" t="e">
        <f>SUM(K169:K172)</f>
        <v>#REF!</v>
      </c>
    </row>
    <row r="169" spans="4:11">
      <c r="D169" s="301" t="s">
        <v>457</v>
      </c>
      <c r="E169" s="293" t="e">
        <f>MEMÓRIA!#REF!</f>
        <v>#REF!</v>
      </c>
      <c r="F169" s="295" t="e">
        <f>MEMÓRIA!#REF!</f>
        <v>#REF!</v>
      </c>
      <c r="G169" s="290"/>
      <c r="H169" s="294" t="e">
        <f>MEMÓRIA!#REF!</f>
        <v>#REF!</v>
      </c>
      <c r="I169" s="297" t="e">
        <f>MEMÓRIA!#REF!</f>
        <v>#REF!</v>
      </c>
      <c r="J169" s="291"/>
      <c r="K169" s="165" t="e">
        <f t="shared" ref="K169:K172" si="7">ROUNDDOWN(I169*J169,2)</f>
        <v>#REF!</v>
      </c>
    </row>
    <row r="170" spans="4:11">
      <c r="D170" s="301" t="s">
        <v>458</v>
      </c>
      <c r="E170" s="293" t="e">
        <f>MEMÓRIA!#REF!</f>
        <v>#REF!</v>
      </c>
      <c r="F170" s="295" t="e">
        <f>MEMÓRIA!#REF!</f>
        <v>#REF!</v>
      </c>
      <c r="G170" s="290"/>
      <c r="H170" s="294" t="e">
        <f>MEMÓRIA!#REF!</f>
        <v>#REF!</v>
      </c>
      <c r="I170" s="297" t="e">
        <f>MEMÓRIA!#REF!</f>
        <v>#REF!</v>
      </c>
      <c r="J170" s="291">
        <v>131.53</v>
      </c>
      <c r="K170" s="165" t="e">
        <f t="shared" si="7"/>
        <v>#REF!</v>
      </c>
    </row>
    <row r="171" spans="4:11">
      <c r="D171" s="301" t="s">
        <v>459</v>
      </c>
      <c r="E171" s="293" t="e">
        <f>MEMÓRIA!#REF!</f>
        <v>#REF!</v>
      </c>
      <c r="F171" s="295" t="e">
        <f>MEMÓRIA!#REF!</f>
        <v>#REF!</v>
      </c>
      <c r="G171" s="290"/>
      <c r="H171" s="294" t="e">
        <f>MEMÓRIA!#REF!</f>
        <v>#REF!</v>
      </c>
      <c r="I171" s="297" t="e">
        <f>MEMÓRIA!#REF!</f>
        <v>#REF!</v>
      </c>
      <c r="J171" s="291"/>
      <c r="K171" s="165" t="e">
        <f t="shared" si="7"/>
        <v>#REF!</v>
      </c>
    </row>
    <row r="172" spans="4:11">
      <c r="D172" s="301" t="s">
        <v>460</v>
      </c>
      <c r="E172" s="293" t="e">
        <f>MEMÓRIA!#REF!</f>
        <v>#REF!</v>
      </c>
      <c r="F172" s="295" t="e">
        <f>MEMÓRIA!#REF!</f>
        <v>#REF!</v>
      </c>
      <c r="G172" s="290"/>
      <c r="H172" s="294" t="e">
        <f>MEMÓRIA!#REF!</f>
        <v>#REF!</v>
      </c>
      <c r="I172" s="297" t="e">
        <f>MEMÓRIA!#REF!</f>
        <v>#REF!</v>
      </c>
      <c r="J172" s="291"/>
      <c r="K172" s="165" t="e">
        <f t="shared" si="7"/>
        <v>#REF!</v>
      </c>
    </row>
    <row r="173" spans="4:11">
      <c r="D173" s="157" t="s">
        <v>461</v>
      </c>
      <c r="E173" s="159"/>
      <c r="F173" s="158" t="s">
        <v>462</v>
      </c>
      <c r="G173" s="158"/>
      <c r="H173" s="158"/>
      <c r="I173" s="160"/>
      <c r="J173" s="160"/>
      <c r="K173" s="160"/>
    </row>
    <row r="174" spans="4:11">
      <c r="D174" s="157" t="s">
        <v>136</v>
      </c>
      <c r="E174" s="159"/>
      <c r="F174" s="158" t="s">
        <v>463</v>
      </c>
      <c r="G174" s="158"/>
      <c r="H174" s="158"/>
      <c r="I174" s="160"/>
      <c r="J174" s="160"/>
      <c r="K174" s="160"/>
    </row>
    <row r="175" spans="4:11">
      <c r="D175" s="157" t="s">
        <v>464</v>
      </c>
      <c r="E175" s="159"/>
      <c r="F175" s="158" t="s">
        <v>350</v>
      </c>
      <c r="G175" s="158"/>
      <c r="H175" s="158"/>
      <c r="I175" s="160"/>
      <c r="J175" s="160"/>
      <c r="K175" s="160">
        <f>SUM(K176:K178)</f>
        <v>0</v>
      </c>
    </row>
    <row r="176" spans="4:11">
      <c r="D176" s="301" t="s">
        <v>465</v>
      </c>
      <c r="E176" s="293" t="e">
        <f>MEMÓRIA!#REF!</f>
        <v>#REF!</v>
      </c>
      <c r="F176" s="295" t="e">
        <f>MEMÓRIA!#REF!</f>
        <v>#REF!</v>
      </c>
      <c r="G176" s="290"/>
      <c r="H176" s="294" t="e">
        <f>MEMÓRIA!#REF!</f>
        <v>#REF!</v>
      </c>
      <c r="I176" s="297" t="e">
        <f>MEMÓRIA!#REF!</f>
        <v>#REF!</v>
      </c>
      <c r="J176" s="291"/>
      <c r="K176" s="292"/>
    </row>
    <row r="177" spans="2:13">
      <c r="D177" s="301" t="s">
        <v>466</v>
      </c>
      <c r="E177" s="293" t="e">
        <f>MEMÓRIA!#REF!</f>
        <v>#REF!</v>
      </c>
      <c r="F177" s="295" t="e">
        <f>MEMÓRIA!#REF!</f>
        <v>#REF!</v>
      </c>
      <c r="G177" s="290"/>
      <c r="H177" s="294" t="e">
        <f>MEMÓRIA!#REF!</f>
        <v>#REF!</v>
      </c>
      <c r="I177" s="297" t="e">
        <f>MEMÓRIA!#REF!</f>
        <v>#REF!</v>
      </c>
      <c r="J177" s="291"/>
      <c r="K177" s="292"/>
    </row>
    <row r="178" spans="2:13">
      <c r="D178" s="301" t="s">
        <v>467</v>
      </c>
      <c r="E178" s="293" t="e">
        <f>MEMÓRIA!#REF!</f>
        <v>#REF!</v>
      </c>
      <c r="F178" s="295" t="e">
        <f>MEMÓRIA!#REF!</f>
        <v>#REF!</v>
      </c>
      <c r="G178" s="290"/>
      <c r="H178" s="294" t="e">
        <f>MEMÓRIA!#REF!</f>
        <v>#REF!</v>
      </c>
      <c r="I178" s="297" t="e">
        <f>MEMÓRIA!#REF!</f>
        <v>#REF!</v>
      </c>
      <c r="J178" s="291"/>
      <c r="K178" s="292"/>
    </row>
    <row r="179" spans="2:13">
      <c r="C179" s="134" t="str">
        <f>IF(G179="","",1)</f>
        <v/>
      </c>
      <c r="D179" s="157" t="s">
        <v>468</v>
      </c>
      <c r="E179" s="159"/>
      <c r="F179" s="158" t="s">
        <v>137</v>
      </c>
      <c r="G179" s="158"/>
      <c r="H179" s="158"/>
      <c r="I179" s="160"/>
      <c r="J179" s="160"/>
      <c r="K179" s="160" t="e">
        <f>SUM(K180:K185)</f>
        <v>#REF!</v>
      </c>
    </row>
    <row r="180" spans="2:13">
      <c r="D180" s="301" t="s">
        <v>469</v>
      </c>
      <c r="E180" s="296" t="e">
        <f>MEMÓRIA!#REF!</f>
        <v>#REF!</v>
      </c>
      <c r="F180" s="295" t="e">
        <f>MEMÓRIA!#REF!</f>
        <v>#REF!</v>
      </c>
      <c r="G180" s="290"/>
      <c r="H180" s="294" t="e">
        <f>MEMÓRIA!#REF!</f>
        <v>#REF!</v>
      </c>
      <c r="I180" s="297" t="e">
        <f>MEMÓRIA!#REF!</f>
        <v>#REF!</v>
      </c>
      <c r="J180" s="291">
        <v>0.36</v>
      </c>
      <c r="K180" s="292"/>
    </row>
    <row r="181" spans="2:13">
      <c r="D181" s="301" t="s">
        <v>470</v>
      </c>
      <c r="E181" s="296" t="e">
        <f>MEMÓRIA!#REF!</f>
        <v>#REF!</v>
      </c>
      <c r="F181" s="295" t="e">
        <f>MEMÓRIA!#REF!</f>
        <v>#REF!</v>
      </c>
      <c r="G181" s="290"/>
      <c r="H181" s="294" t="e">
        <f>MEMÓRIA!#REF!</f>
        <v>#REF!</v>
      </c>
      <c r="I181" s="297" t="e">
        <f>MEMÓRIA!#REF!</f>
        <v>#REF!</v>
      </c>
      <c r="J181" s="291">
        <v>1.39</v>
      </c>
      <c r="K181" s="292"/>
    </row>
    <row r="182" spans="2:13">
      <c r="D182" s="301" t="s">
        <v>471</v>
      </c>
      <c r="E182" s="296" t="e">
        <f>MEMÓRIA!#REF!</f>
        <v>#REF!</v>
      </c>
      <c r="F182" s="295" t="e">
        <f>MEMÓRIA!#REF!</f>
        <v>#REF!</v>
      </c>
      <c r="G182" s="290"/>
      <c r="H182" s="294" t="e">
        <f>MEMÓRIA!#REF!</f>
        <v>#REF!</v>
      </c>
      <c r="I182" s="297" t="e">
        <f>MEMÓRIA!#REF!</f>
        <v>#REF!</v>
      </c>
      <c r="J182" s="291">
        <v>0.56999999999999995</v>
      </c>
      <c r="K182" s="292"/>
    </row>
    <row r="183" spans="2:13">
      <c r="D183" s="301" t="s">
        <v>472</v>
      </c>
      <c r="E183" s="296" t="e">
        <f>MEMÓRIA!#REF!</f>
        <v>#REF!</v>
      </c>
      <c r="F183" s="295" t="e">
        <f>MEMÓRIA!#REF!</f>
        <v>#REF!</v>
      </c>
      <c r="G183" s="290"/>
      <c r="H183" s="294" t="e">
        <f>MEMÓRIA!#REF!</f>
        <v>#REF!</v>
      </c>
      <c r="I183" s="297" t="e">
        <f>MEMÓRIA!#REF!</f>
        <v>#REF!</v>
      </c>
      <c r="J183" s="291">
        <v>1.3</v>
      </c>
      <c r="K183" s="292"/>
    </row>
    <row r="184" spans="2:13">
      <c r="D184" s="301" t="s">
        <v>473</v>
      </c>
      <c r="E184" s="296" t="e">
        <f>MEMÓRIA!#REF!</f>
        <v>#REF!</v>
      </c>
      <c r="F184" s="295" t="e">
        <f>MEMÓRIA!#REF!</f>
        <v>#REF!</v>
      </c>
      <c r="G184" s="290"/>
      <c r="H184" s="294" t="e">
        <f>MEMÓRIA!#REF!</f>
        <v>#REF!</v>
      </c>
      <c r="I184" s="297" t="e">
        <f>MEMÓRIA!#REF!</f>
        <v>#REF!</v>
      </c>
      <c r="J184" s="291">
        <v>1.03</v>
      </c>
      <c r="K184" s="292"/>
    </row>
    <row r="185" spans="2:13">
      <c r="B185" s="134" t="s">
        <v>230</v>
      </c>
      <c r="C185" s="134" t="str">
        <f>IF(G185="","",1)</f>
        <v/>
      </c>
      <c r="D185" s="301" t="s">
        <v>474</v>
      </c>
      <c r="E185" s="293" t="e">
        <f>MEMÓRIA!#REF!</f>
        <v>#REF!</v>
      </c>
      <c r="F185" s="295" t="e">
        <f>MEMÓRIA!#REF!</f>
        <v>#REF!</v>
      </c>
      <c r="G185" s="290"/>
      <c r="H185" s="294" t="e">
        <f>MEMÓRIA!#REF!</f>
        <v>#REF!</v>
      </c>
      <c r="I185" s="297" t="e">
        <f>MEMÓRIA!#REF!</f>
        <v>#REF!</v>
      </c>
      <c r="J185" s="291"/>
      <c r="K185" s="292" t="e">
        <f>ROUNDDOWN(I185*J185,2)</f>
        <v>#REF!</v>
      </c>
    </row>
    <row r="186" spans="2:13">
      <c r="D186" s="280" t="s">
        <v>476</v>
      </c>
      <c r="E186" s="281"/>
      <c r="F186" s="281"/>
      <c r="G186" s="281"/>
      <c r="H186" s="281"/>
      <c r="I186" s="281"/>
      <c r="J186" s="282"/>
      <c r="K186" s="168" t="e">
        <f>SUM(K11,K15,K27,K29,K33,K58,K76,K82,K92,K101,K104,K107,K116,K127,K135,K143,K167,K173,K175,K179)</f>
        <v>#REF!</v>
      </c>
    </row>
    <row r="187" spans="2:13">
      <c r="D187" s="280" t="s">
        <v>477</v>
      </c>
      <c r="E187" s="281"/>
      <c r="F187" s="281"/>
      <c r="G187" s="281"/>
      <c r="H187" s="281"/>
      <c r="I187" s="281"/>
      <c r="J187" s="282"/>
      <c r="K187" s="168" t="e">
        <f>K186*1.2835</f>
        <v>#REF!</v>
      </c>
    </row>
    <row r="188" spans="2:13">
      <c r="K188" s="135">
        <v>447.75</v>
      </c>
    </row>
    <row r="189" spans="2:13">
      <c r="K189" s="169" t="e">
        <f>K187/K188</f>
        <v>#REF!</v>
      </c>
      <c r="L189" s="134">
        <f>46.24</f>
        <v>46.24</v>
      </c>
      <c r="M189" s="170" t="e">
        <f>K189*L189</f>
        <v>#REF!</v>
      </c>
    </row>
  </sheetData>
  <mergeCells count="3">
    <mergeCell ref="M35:M39"/>
    <mergeCell ref="M46:M53"/>
    <mergeCell ref="M60:M66"/>
  </mergeCells>
  <printOptions horizontalCentered="1"/>
  <pageMargins left="0.39370078740157483" right="0.39370078740157483" top="1.2204724409448819" bottom="0.78740157480314965" header="0.31496062992125984" footer="0.31496062992125984"/>
  <pageSetup paperSize="9" scale="57" fitToHeight="0" orientation="portrait" r:id="rId1"/>
  <headerFooter>
    <oddHeader>&amp;L&amp;G&amp;C&amp;"Arial Narrow,Negrito"REPÚBLICA FEDERATIVA DO BRASIL
MINISTÉRIO DA EDUCAÇÃO
SECRETARIA DE EDUCAÇÃO TECNOLÓGICA
INSTITUTO FEDERAL DE EDUCAÇÃO, CIÊNCIA E TEC. DO AMAZONAS
PRÓ-REITORIA DE DES. INSTITUCIONAL
DIRETORIA OBRAS E SERV. DE ENGENHARIA&amp;R&amp;G</oddHeader>
    <oddFooter>&amp;C&amp;"Arial Narrow,Negrito"&amp;10Reitoria - Avenida Ferreira Pena, 1.109, Centro - Manaus/AM - CEP: 69.025-010.
E-mail: enge.ifam@ifam.edu.br
Tel: (92) 3306-0045&amp;R&amp;"Arial Narrow,Normal"Página &amp;P de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3"/>
  <sheetViews>
    <sheetView showGridLines="0" view="pageBreakPreview" topLeftCell="A12" zoomScaleNormal="100" zoomScaleSheetLayoutView="100" workbookViewId="0">
      <selection activeCell="C17" sqref="C17"/>
    </sheetView>
  </sheetViews>
  <sheetFormatPr defaultColWidth="9.140625" defaultRowHeight="12.75"/>
  <cols>
    <col min="1" max="1" width="9.140625" style="24"/>
    <col min="2" max="2" width="9.140625" style="24" customWidth="1"/>
    <col min="3" max="3" width="56.7109375" style="24" customWidth="1"/>
    <col min="4" max="4" width="18.28515625" style="24" customWidth="1"/>
    <col min="5" max="5" width="14.5703125" style="24" customWidth="1"/>
    <col min="6" max="16384" width="9.140625" style="24"/>
  </cols>
  <sheetData>
    <row r="1" spans="1:13" ht="15" customHeight="1">
      <c r="A1" s="855" t="s">
        <v>3</v>
      </c>
      <c r="B1" s="855"/>
      <c r="C1" s="855"/>
      <c r="D1" s="855"/>
      <c r="E1" s="855"/>
      <c r="F1" s="855"/>
      <c r="G1" s="855"/>
      <c r="H1" s="304"/>
      <c r="I1" s="304"/>
      <c r="J1" s="304"/>
      <c r="K1" s="23"/>
      <c r="L1" s="23"/>
    </row>
    <row r="2" spans="1:13" ht="15" customHeight="1">
      <c r="A2" s="855" t="s">
        <v>486</v>
      </c>
      <c r="B2" s="855"/>
      <c r="C2" s="855"/>
      <c r="D2" s="855"/>
      <c r="E2" s="855"/>
      <c r="F2" s="855"/>
      <c r="G2" s="855"/>
      <c r="H2" s="304"/>
      <c r="I2" s="304"/>
      <c r="J2" s="304"/>
      <c r="K2" s="23"/>
      <c r="L2" s="23"/>
    </row>
    <row r="3" spans="1:13" ht="15" customHeight="1">
      <c r="A3" s="855" t="s">
        <v>487</v>
      </c>
      <c r="B3" s="855"/>
      <c r="C3" s="855"/>
      <c r="D3" s="855"/>
      <c r="E3" s="855"/>
      <c r="F3" s="855"/>
      <c r="G3" s="855"/>
      <c r="H3" s="304"/>
      <c r="I3" s="304"/>
      <c r="J3" s="304"/>
      <c r="K3" s="23"/>
      <c r="L3" s="23"/>
    </row>
    <row r="4" spans="1:13" ht="15" customHeight="1">
      <c r="A4" s="855" t="s">
        <v>488</v>
      </c>
      <c r="B4" s="855"/>
      <c r="C4" s="855"/>
      <c r="D4" s="855"/>
      <c r="E4" s="855"/>
      <c r="F4" s="855"/>
      <c r="G4" s="855"/>
      <c r="H4" s="304"/>
      <c r="I4" s="304"/>
      <c r="J4" s="304"/>
      <c r="K4" s="23"/>
      <c r="L4" s="23"/>
    </row>
    <row r="5" spans="1:13" ht="15" customHeight="1">
      <c r="A5" s="855" t="s">
        <v>489</v>
      </c>
      <c r="B5" s="855"/>
      <c r="C5" s="855"/>
      <c r="D5" s="855"/>
      <c r="E5" s="855"/>
      <c r="F5" s="855"/>
      <c r="G5" s="855"/>
      <c r="H5" s="304"/>
      <c r="I5" s="304"/>
      <c r="J5" s="304"/>
      <c r="K5" s="23"/>
      <c r="L5" s="23"/>
    </row>
    <row r="6" spans="1:13" ht="15" customHeight="1">
      <c r="A6" s="855" t="s">
        <v>492</v>
      </c>
      <c r="B6" s="855"/>
      <c r="C6" s="855"/>
      <c r="D6" s="855"/>
      <c r="E6" s="855"/>
      <c r="F6" s="855"/>
      <c r="G6" s="855"/>
      <c r="H6" s="304"/>
      <c r="I6" s="304"/>
      <c r="J6" s="304"/>
      <c r="K6" s="23"/>
      <c r="L6" s="23"/>
    </row>
    <row r="7" spans="1:13" ht="12.95" customHeight="1">
      <c r="A7" s="305"/>
      <c r="B7" s="305"/>
      <c r="C7" s="305"/>
      <c r="D7" s="305"/>
      <c r="E7" s="305"/>
      <c r="F7" s="305"/>
      <c r="G7" s="305"/>
      <c r="H7" s="304"/>
      <c r="I7" s="304"/>
      <c r="J7" s="304"/>
      <c r="K7" s="23"/>
      <c r="L7" s="23"/>
    </row>
    <row r="8" spans="1:13" ht="15">
      <c r="A8" s="306"/>
      <c r="B8" s="306" t="s">
        <v>490</v>
      </c>
      <c r="C8" s="22"/>
      <c r="D8" s="22"/>
      <c r="E8" s="307"/>
      <c r="F8" s="22"/>
      <c r="G8" s="22"/>
      <c r="H8" s="308"/>
      <c r="I8" s="22"/>
      <c r="J8" s="22"/>
      <c r="M8" s="26"/>
    </row>
    <row r="9" spans="1:13" ht="15.75" customHeight="1">
      <c r="A9" s="309"/>
      <c r="B9" s="888" t="s">
        <v>491</v>
      </c>
      <c r="C9" s="888"/>
      <c r="D9" s="888"/>
      <c r="E9" s="888"/>
      <c r="F9" s="888"/>
      <c r="G9" s="888"/>
      <c r="H9" s="888"/>
      <c r="I9" s="888"/>
      <c r="J9" s="888"/>
      <c r="M9" s="26"/>
    </row>
    <row r="10" spans="1:13" ht="20.100000000000001" customHeight="1">
      <c r="A10" s="28"/>
      <c r="B10" s="885" t="s">
        <v>38</v>
      </c>
      <c r="C10" s="885"/>
      <c r="D10" s="885"/>
      <c r="E10" s="885"/>
      <c r="F10" s="885"/>
      <c r="G10" s="28"/>
      <c r="H10" s="29"/>
      <c r="I10" s="29"/>
    </row>
    <row r="11" spans="1:13" ht="9.9499999999999993" customHeight="1">
      <c r="C11" s="886"/>
      <c r="D11" s="886"/>
      <c r="E11" s="886"/>
    </row>
    <row r="12" spans="1:13" ht="18.75" customHeight="1" thickBot="1">
      <c r="A12" s="27"/>
      <c r="B12" s="30"/>
      <c r="C12" s="887"/>
      <c r="D12" s="887"/>
      <c r="E12" s="887"/>
      <c r="F12" s="27"/>
      <c r="G12" s="27"/>
    </row>
    <row r="13" spans="1:13" s="31" customFormat="1" ht="30" customHeight="1" thickBot="1">
      <c r="B13" s="32"/>
      <c r="C13" s="33" t="s">
        <v>39</v>
      </c>
      <c r="D13" s="34" t="s">
        <v>0</v>
      </c>
      <c r="E13" s="35" t="s">
        <v>32</v>
      </c>
      <c r="F13" s="32"/>
    </row>
    <row r="14" spans="1:13" ht="40.15" customHeight="1">
      <c r="B14" s="36"/>
      <c r="C14" s="76" t="s">
        <v>40</v>
      </c>
      <c r="D14" s="37" t="s">
        <v>9</v>
      </c>
      <c r="E14" s="38">
        <v>419.57920000000001</v>
      </c>
      <c r="F14" s="39"/>
    </row>
    <row r="15" spans="1:13" ht="40.15" customHeight="1">
      <c r="B15" s="36"/>
      <c r="C15" s="44" t="s">
        <v>41</v>
      </c>
      <c r="D15" s="40" t="s">
        <v>9</v>
      </c>
      <c r="E15" s="41">
        <v>23.303200000000004</v>
      </c>
      <c r="F15" s="39"/>
    </row>
    <row r="16" spans="1:13" ht="40.15" customHeight="1">
      <c r="B16" s="36"/>
      <c r="C16" s="44" t="s">
        <v>42</v>
      </c>
      <c r="D16" s="40" t="s">
        <v>9</v>
      </c>
      <c r="E16" s="41">
        <v>140.53800000000001</v>
      </c>
      <c r="F16" s="39"/>
    </row>
    <row r="17" spans="2:6" ht="40.15" customHeight="1">
      <c r="B17" s="36"/>
      <c r="C17" s="44" t="s">
        <v>43</v>
      </c>
      <c r="D17" s="40" t="s">
        <v>9</v>
      </c>
      <c r="E17" s="41">
        <v>0</v>
      </c>
      <c r="F17" s="42"/>
    </row>
    <row r="18" spans="2:6" ht="40.15" customHeight="1">
      <c r="B18" s="36"/>
      <c r="C18" s="44" t="s">
        <v>44</v>
      </c>
      <c r="D18" s="43" t="s">
        <v>9</v>
      </c>
      <c r="E18" s="41">
        <v>95.54000000000002</v>
      </c>
      <c r="F18" s="42"/>
    </row>
    <row r="19" spans="2:6" ht="40.15" customHeight="1">
      <c r="B19" s="36"/>
      <c r="C19" s="77" t="s">
        <v>45</v>
      </c>
      <c r="D19" s="43" t="s">
        <v>9</v>
      </c>
      <c r="E19" s="41">
        <v>0</v>
      </c>
      <c r="F19" s="42"/>
    </row>
    <row r="20" spans="2:6" ht="40.15" customHeight="1">
      <c r="B20" s="36"/>
      <c r="C20" s="77" t="s">
        <v>46</v>
      </c>
      <c r="D20" s="43" t="s">
        <v>8</v>
      </c>
      <c r="E20" s="41">
        <v>0</v>
      </c>
      <c r="F20" s="42"/>
    </row>
    <row r="21" spans="2:6" ht="40.15" customHeight="1">
      <c r="B21" s="36"/>
      <c r="C21" s="77" t="s">
        <v>47</v>
      </c>
      <c r="D21" s="43" t="s">
        <v>9</v>
      </c>
      <c r="E21" s="41">
        <v>279.9092</v>
      </c>
      <c r="F21" s="42"/>
    </row>
    <row r="22" spans="2:6" ht="40.15" customHeight="1">
      <c r="B22" s="36"/>
      <c r="C22" s="77" t="s">
        <v>48</v>
      </c>
      <c r="D22" s="43" t="s">
        <v>9</v>
      </c>
      <c r="E22" s="41">
        <v>23.303200000000004</v>
      </c>
      <c r="F22" s="42"/>
    </row>
    <row r="23" spans="2:6" ht="40.15" customHeight="1">
      <c r="B23" s="36"/>
      <c r="C23" s="77" t="s">
        <v>49</v>
      </c>
      <c r="D23" s="43" t="s">
        <v>9</v>
      </c>
      <c r="E23" s="41">
        <v>184.66800000000001</v>
      </c>
      <c r="F23" s="42"/>
    </row>
    <row r="24" spans="2:6" ht="40.15" customHeight="1">
      <c r="B24" s="36"/>
      <c r="C24" s="44" t="s">
        <v>478</v>
      </c>
      <c r="D24" s="43" t="s">
        <v>9</v>
      </c>
      <c r="E24" s="41">
        <v>266.69619999999998</v>
      </c>
      <c r="F24" s="42"/>
    </row>
    <row r="25" spans="2:6" ht="40.15" customHeight="1">
      <c r="B25" s="36"/>
      <c r="C25" s="44" t="s">
        <v>479</v>
      </c>
      <c r="D25" s="43" t="s">
        <v>9</v>
      </c>
      <c r="E25" s="41">
        <v>62.8</v>
      </c>
      <c r="F25" s="42"/>
    </row>
    <row r="26" spans="2:6" ht="40.15" customHeight="1">
      <c r="B26" s="36"/>
      <c r="C26" s="44" t="s">
        <v>480</v>
      </c>
      <c r="D26" s="43" t="s">
        <v>9</v>
      </c>
      <c r="E26" s="45">
        <v>303.51120000000003</v>
      </c>
      <c r="F26" s="36"/>
    </row>
    <row r="27" spans="2:6" ht="40.15" customHeight="1">
      <c r="B27" s="36"/>
      <c r="C27" s="44" t="s">
        <v>481</v>
      </c>
      <c r="D27" s="43" t="s">
        <v>9</v>
      </c>
      <c r="E27" s="45">
        <v>303.51120000000003</v>
      </c>
      <c r="F27" s="36"/>
    </row>
    <row r="28" spans="2:6" ht="40.15" customHeight="1">
      <c r="B28" s="36"/>
      <c r="C28" s="44" t="s">
        <v>482</v>
      </c>
      <c r="D28" s="43" t="s">
        <v>9</v>
      </c>
      <c r="E28" s="45">
        <v>62.8</v>
      </c>
      <c r="F28" s="42"/>
    </row>
    <row r="29" spans="2:6" ht="40.15" customHeight="1">
      <c r="B29" s="36"/>
      <c r="C29" s="312" t="s">
        <v>483</v>
      </c>
      <c r="D29" s="313" t="s">
        <v>9</v>
      </c>
      <c r="E29" s="314">
        <v>62.8</v>
      </c>
      <c r="F29" s="42"/>
    </row>
    <row r="30" spans="2:6" ht="15">
      <c r="B30" s="36"/>
      <c r="C30" s="315" t="s">
        <v>484</v>
      </c>
      <c r="D30" s="316" t="s">
        <v>9</v>
      </c>
      <c r="E30" s="317">
        <v>62.8</v>
      </c>
      <c r="F30" s="36"/>
    </row>
    <row r="31" spans="2:6" ht="15.75" thickBot="1">
      <c r="B31" s="36"/>
      <c r="C31" s="310" t="s">
        <v>485</v>
      </c>
      <c r="D31" s="311" t="s">
        <v>9</v>
      </c>
      <c r="E31" s="318">
        <v>62.8</v>
      </c>
      <c r="F31" s="36"/>
    </row>
    <row r="32" spans="2:6">
      <c r="B32" s="36"/>
      <c r="C32" s="36"/>
      <c r="D32" s="36"/>
      <c r="E32" s="36"/>
      <c r="F32" s="36"/>
    </row>
    <row r="33" spans="2:6">
      <c r="B33" s="36"/>
      <c r="C33" s="36"/>
      <c r="D33" s="36"/>
      <c r="E33" s="36"/>
      <c r="F33" s="36"/>
    </row>
  </sheetData>
  <mergeCells count="9">
    <mergeCell ref="B10:F10"/>
    <mergeCell ref="C11:E12"/>
    <mergeCell ref="A1:G1"/>
    <mergeCell ref="A2:G2"/>
    <mergeCell ref="A3:G3"/>
    <mergeCell ref="A4:G4"/>
    <mergeCell ref="A5:G5"/>
    <mergeCell ref="A6:G6"/>
    <mergeCell ref="B9:J9"/>
  </mergeCells>
  <printOptions horizontalCentered="1"/>
  <pageMargins left="0.25" right="0.25" top="0.75" bottom="0.75" header="0.3" footer="0.3"/>
  <pageSetup paperSize="9" scale="91"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view="pageBreakPreview" topLeftCell="A17" zoomScale="115" zoomScaleNormal="110" zoomScaleSheetLayoutView="115" workbookViewId="0">
      <selection activeCell="C17" sqref="C17"/>
    </sheetView>
  </sheetViews>
  <sheetFormatPr defaultColWidth="9.140625" defaultRowHeight="12.75"/>
  <cols>
    <col min="1" max="1" width="17.7109375" style="24" customWidth="1"/>
    <col min="2" max="2" width="53.85546875" style="24" customWidth="1"/>
    <col min="3" max="3" width="9.140625" style="24"/>
    <col min="4" max="4" width="15.140625" style="24" customWidth="1"/>
    <col min="5" max="5" width="9.140625" style="24"/>
    <col min="6" max="6" width="10.85546875" style="24" customWidth="1"/>
    <col min="7" max="16384" width="9.140625" style="24"/>
  </cols>
  <sheetData>
    <row r="1" spans="1:13">
      <c r="A1" s="890" t="s">
        <v>3</v>
      </c>
      <c r="B1" s="890"/>
      <c r="C1" s="890"/>
      <c r="D1" s="890"/>
      <c r="E1" s="890"/>
      <c r="F1" s="890"/>
      <c r="G1" s="47"/>
      <c r="H1" s="47"/>
      <c r="I1" s="47"/>
      <c r="J1" s="47"/>
      <c r="K1" s="47"/>
      <c r="L1" s="47"/>
      <c r="M1" s="47"/>
    </row>
    <row r="2" spans="1:13">
      <c r="A2" s="890" t="s">
        <v>4</v>
      </c>
      <c r="B2" s="890"/>
      <c r="C2" s="890"/>
      <c r="D2" s="890"/>
      <c r="E2" s="890"/>
      <c r="F2" s="890"/>
      <c r="G2" s="47"/>
      <c r="H2" s="47"/>
      <c r="I2" s="47"/>
      <c r="J2" s="47"/>
      <c r="K2" s="47"/>
      <c r="L2" s="47"/>
      <c r="M2" s="47"/>
    </row>
    <row r="3" spans="1:13">
      <c r="A3" s="890" t="s">
        <v>50</v>
      </c>
      <c r="B3" s="890"/>
      <c r="C3" s="890"/>
      <c r="D3" s="890"/>
      <c r="E3" s="890"/>
      <c r="F3" s="890"/>
      <c r="G3" s="47"/>
      <c r="H3" s="47"/>
      <c r="I3" s="47"/>
      <c r="J3" s="47"/>
      <c r="K3" s="47"/>
      <c r="L3" s="47"/>
      <c r="M3" s="47"/>
    </row>
    <row r="4" spans="1:13">
      <c r="A4" s="890" t="s">
        <v>51</v>
      </c>
      <c r="B4" s="890"/>
      <c r="C4" s="890"/>
      <c r="D4" s="890"/>
      <c r="E4" s="890"/>
      <c r="F4" s="890"/>
      <c r="G4" s="47"/>
      <c r="H4" s="47"/>
      <c r="I4" s="47"/>
      <c r="J4" s="47"/>
      <c r="K4" s="47"/>
      <c r="L4" s="47"/>
      <c r="M4" s="47"/>
    </row>
    <row r="5" spans="1:13">
      <c r="A5" s="890" t="s">
        <v>52</v>
      </c>
      <c r="B5" s="890"/>
      <c r="C5" s="890"/>
      <c r="D5" s="890"/>
      <c r="E5" s="890"/>
      <c r="F5" s="890"/>
      <c r="G5" s="47"/>
      <c r="H5" s="47"/>
      <c r="I5" s="47"/>
      <c r="J5" s="47"/>
      <c r="K5" s="47"/>
      <c r="L5" s="47"/>
      <c r="M5" s="47"/>
    </row>
    <row r="6" spans="1:13">
      <c r="A6" s="890" t="s">
        <v>53</v>
      </c>
      <c r="B6" s="890"/>
      <c r="C6" s="890"/>
      <c r="D6" s="890"/>
      <c r="E6" s="890"/>
      <c r="F6" s="890"/>
      <c r="G6" s="47"/>
      <c r="H6" s="47"/>
      <c r="I6" s="47"/>
      <c r="J6" s="47"/>
      <c r="K6" s="47"/>
      <c r="L6" s="47"/>
      <c r="M6" s="47"/>
    </row>
    <row r="7" spans="1:13">
      <c r="A7" s="48"/>
      <c r="B7" s="49"/>
      <c r="C7" s="50"/>
      <c r="D7" s="50"/>
      <c r="E7" s="50"/>
      <c r="F7" s="51"/>
      <c r="G7" s="47"/>
      <c r="H7" s="47"/>
      <c r="I7" s="47"/>
      <c r="J7" s="47"/>
      <c r="K7" s="47"/>
      <c r="L7" s="47"/>
      <c r="M7" s="47"/>
    </row>
    <row r="8" spans="1:13" ht="14.25">
      <c r="A8" s="52"/>
      <c r="B8" s="53"/>
      <c r="C8" s="47"/>
      <c r="D8" s="47"/>
      <c r="E8" s="54"/>
      <c r="F8" s="54"/>
      <c r="G8" s="55"/>
      <c r="H8" s="47"/>
    </row>
    <row r="9" spans="1:13" ht="14.25">
      <c r="A9" s="46" t="s">
        <v>36</v>
      </c>
      <c r="B9" s="25"/>
      <c r="C9" s="25"/>
      <c r="D9" s="25"/>
      <c r="E9" s="56"/>
      <c r="F9" s="57"/>
      <c r="G9" s="58"/>
      <c r="H9" s="59"/>
    </row>
    <row r="10" spans="1:13" ht="14.25">
      <c r="A10" s="889" t="s">
        <v>37</v>
      </c>
      <c r="B10" s="889"/>
      <c r="C10" s="889"/>
      <c r="D10" s="889"/>
      <c r="E10" s="889"/>
      <c r="F10" s="889"/>
      <c r="G10" s="889"/>
      <c r="H10" s="59"/>
    </row>
    <row r="11" spans="1:13" ht="13.5" thickBot="1">
      <c r="A11" s="60"/>
      <c r="B11" s="60"/>
      <c r="C11" s="60"/>
      <c r="D11" s="60"/>
      <c r="E11" s="60"/>
      <c r="F11" s="60"/>
      <c r="G11" s="60"/>
      <c r="H11" s="61"/>
    </row>
    <row r="12" spans="1:13" ht="13.5" thickBot="1">
      <c r="A12" s="321" t="s">
        <v>153</v>
      </c>
      <c r="B12" s="322" t="s">
        <v>20</v>
      </c>
      <c r="C12" s="322" t="s">
        <v>504</v>
      </c>
      <c r="D12" s="322" t="s">
        <v>505</v>
      </c>
      <c r="E12" s="322" t="s">
        <v>0</v>
      </c>
      <c r="F12" s="323" t="s">
        <v>506</v>
      </c>
      <c r="G12" s="36"/>
    </row>
    <row r="13" spans="1:13" ht="75">
      <c r="A13" s="324" t="s">
        <v>384</v>
      </c>
      <c r="B13" s="325" t="s">
        <v>507</v>
      </c>
      <c r="C13" s="326" t="s">
        <v>14</v>
      </c>
      <c r="D13" s="326" t="s">
        <v>508</v>
      </c>
      <c r="E13" s="326" t="s">
        <v>9</v>
      </c>
      <c r="F13" s="334">
        <v>45.42</v>
      </c>
      <c r="G13" s="36"/>
      <c r="H13" s="36"/>
      <c r="I13" s="36"/>
    </row>
    <row r="14" spans="1:13" ht="75">
      <c r="A14" s="327" t="s">
        <v>385</v>
      </c>
      <c r="B14" s="328" t="s">
        <v>509</v>
      </c>
      <c r="C14" s="329" t="s">
        <v>14</v>
      </c>
      <c r="D14" s="329" t="s">
        <v>510</v>
      </c>
      <c r="E14" s="329" t="s">
        <v>9</v>
      </c>
      <c r="F14" s="335">
        <v>24.096</v>
      </c>
      <c r="G14" s="36"/>
      <c r="H14" s="36"/>
      <c r="I14" s="36"/>
    </row>
    <row r="15" spans="1:13" ht="75">
      <c r="A15" s="330" t="s">
        <v>386</v>
      </c>
      <c r="B15" s="328" t="s">
        <v>511</v>
      </c>
      <c r="C15" s="329" t="s">
        <v>14</v>
      </c>
      <c r="D15" s="329" t="s">
        <v>512</v>
      </c>
      <c r="E15" s="329" t="s">
        <v>9</v>
      </c>
      <c r="F15" s="335">
        <v>36.902999999999999</v>
      </c>
      <c r="G15" s="36"/>
      <c r="H15" s="36"/>
      <c r="I15" s="36"/>
    </row>
    <row r="16" spans="1:13" ht="75">
      <c r="A16" s="327" t="s">
        <v>387</v>
      </c>
      <c r="B16" s="328" t="s">
        <v>513</v>
      </c>
      <c r="C16" s="329" t="s">
        <v>14</v>
      </c>
      <c r="D16" s="329" t="s">
        <v>514</v>
      </c>
      <c r="E16" s="329" t="s">
        <v>9</v>
      </c>
      <c r="F16" s="335">
        <v>83.728999999999985</v>
      </c>
      <c r="G16" s="36"/>
      <c r="H16" s="36"/>
      <c r="I16" s="36"/>
    </row>
    <row r="17" spans="1:9" ht="30">
      <c r="A17" s="330" t="s">
        <v>388</v>
      </c>
      <c r="B17" s="328" t="s">
        <v>515</v>
      </c>
      <c r="C17" s="329" t="s">
        <v>14</v>
      </c>
      <c r="D17" s="329" t="s">
        <v>516</v>
      </c>
      <c r="E17" s="329" t="s">
        <v>1</v>
      </c>
      <c r="F17" s="336">
        <v>1.2</v>
      </c>
      <c r="G17" s="36"/>
      <c r="H17" s="36"/>
      <c r="I17" s="36"/>
    </row>
    <row r="18" spans="1:9" ht="30">
      <c r="A18" s="327" t="s">
        <v>389</v>
      </c>
      <c r="B18" s="328" t="s">
        <v>517</v>
      </c>
      <c r="C18" s="329" t="s">
        <v>14</v>
      </c>
      <c r="D18" s="329" t="s">
        <v>518</v>
      </c>
      <c r="E18" s="329" t="s">
        <v>1</v>
      </c>
      <c r="F18" s="336">
        <v>20.900000000000002</v>
      </c>
      <c r="G18" s="36"/>
      <c r="H18" s="36"/>
      <c r="I18" s="36"/>
    </row>
    <row r="19" spans="1:9" ht="30">
      <c r="A19" s="330" t="s">
        <v>390</v>
      </c>
      <c r="B19" s="328" t="s">
        <v>519</v>
      </c>
      <c r="C19" s="329" t="s">
        <v>14</v>
      </c>
      <c r="D19" s="329" t="s">
        <v>520</v>
      </c>
      <c r="E19" s="329" t="s">
        <v>1</v>
      </c>
      <c r="F19" s="336">
        <v>15.6</v>
      </c>
      <c r="G19" s="36"/>
    </row>
    <row r="20" spans="1:9" ht="30">
      <c r="A20" s="327" t="s">
        <v>391</v>
      </c>
      <c r="B20" s="328" t="s">
        <v>521</v>
      </c>
      <c r="C20" s="329" t="s">
        <v>14</v>
      </c>
      <c r="D20" s="329" t="s">
        <v>522</v>
      </c>
      <c r="E20" s="329" t="s">
        <v>1</v>
      </c>
      <c r="F20" s="336">
        <v>2.2000000000000002</v>
      </c>
    </row>
    <row r="21" spans="1:9" ht="30">
      <c r="A21" s="330" t="s">
        <v>392</v>
      </c>
      <c r="B21" s="328" t="s">
        <v>523</v>
      </c>
      <c r="C21" s="329" t="s">
        <v>14</v>
      </c>
      <c r="D21" s="329" t="s">
        <v>524</v>
      </c>
      <c r="E21" s="329" t="s">
        <v>1</v>
      </c>
      <c r="F21" s="336">
        <v>20.300000000000004</v>
      </c>
    </row>
    <row r="22" spans="1:9" ht="30">
      <c r="A22" s="327" t="s">
        <v>525</v>
      </c>
      <c r="B22" s="328" t="s">
        <v>526</v>
      </c>
      <c r="C22" s="329" t="s">
        <v>14</v>
      </c>
      <c r="D22" s="329" t="s">
        <v>527</v>
      </c>
      <c r="E22" s="329" t="s">
        <v>1</v>
      </c>
      <c r="F22" s="336">
        <v>26.2</v>
      </c>
    </row>
    <row r="23" spans="1:9" ht="30">
      <c r="A23" s="331" t="s">
        <v>528</v>
      </c>
      <c r="B23" s="332" t="s">
        <v>120</v>
      </c>
      <c r="C23" s="333" t="s">
        <v>14</v>
      </c>
      <c r="D23" s="333" t="s">
        <v>529</v>
      </c>
      <c r="E23" s="333" t="s">
        <v>1</v>
      </c>
      <c r="F23" s="353">
        <v>85.63</v>
      </c>
    </row>
    <row r="24" spans="1:9" ht="15">
      <c r="A24" s="358" t="s">
        <v>530</v>
      </c>
      <c r="B24" s="359" t="s">
        <v>531</v>
      </c>
      <c r="C24" s="360" t="s">
        <v>14</v>
      </c>
      <c r="D24" s="360" t="s">
        <v>532</v>
      </c>
      <c r="E24" s="360" t="s">
        <v>1</v>
      </c>
      <c r="F24" s="361">
        <v>16.899999999999999</v>
      </c>
    </row>
    <row r="25" spans="1:9" ht="75.75" thickBot="1">
      <c r="A25" s="354" t="s">
        <v>546</v>
      </c>
      <c r="B25" s="355" t="s">
        <v>547</v>
      </c>
      <c r="C25" s="356" t="s">
        <v>14</v>
      </c>
      <c r="D25" s="356" t="s">
        <v>548</v>
      </c>
      <c r="E25" s="356" t="s">
        <v>9</v>
      </c>
      <c r="F25" s="357">
        <v>9.1120000000000001</v>
      </c>
    </row>
  </sheetData>
  <mergeCells count="7">
    <mergeCell ref="A10:G10"/>
    <mergeCell ref="A1:F1"/>
    <mergeCell ref="A2:F2"/>
    <mergeCell ref="A3:F3"/>
    <mergeCell ref="A4:F4"/>
    <mergeCell ref="A5:F5"/>
    <mergeCell ref="A6:F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68"/>
  <sheetViews>
    <sheetView view="pageBreakPreview" topLeftCell="A16" zoomScaleNormal="100" zoomScaleSheetLayoutView="100" workbookViewId="0">
      <selection activeCell="C17" sqref="C17"/>
    </sheetView>
  </sheetViews>
  <sheetFormatPr defaultRowHeight="15"/>
  <cols>
    <col min="4" max="4" width="18.5703125" customWidth="1"/>
    <col min="5" max="5" width="17.28515625" bestFit="1" customWidth="1"/>
    <col min="6" max="6" width="18.5703125" bestFit="1" customWidth="1"/>
    <col min="8" max="8" width="9.140625" customWidth="1"/>
    <col min="9" max="9" width="10.5703125" bestFit="1" customWidth="1"/>
  </cols>
  <sheetData>
    <row r="1" spans="2:9">
      <c r="B1" s="890" t="s">
        <v>3</v>
      </c>
      <c r="C1" s="890"/>
      <c r="D1" s="890"/>
      <c r="E1" s="890"/>
      <c r="F1" s="890"/>
      <c r="G1" s="890"/>
      <c r="H1" s="890"/>
      <c r="I1" s="890"/>
    </row>
    <row r="2" spans="2:9">
      <c r="B2" s="890" t="s">
        <v>4</v>
      </c>
      <c r="C2" s="890"/>
      <c r="D2" s="890"/>
      <c r="E2" s="890"/>
      <c r="F2" s="890"/>
      <c r="G2" s="890"/>
      <c r="H2" s="890"/>
      <c r="I2" s="890"/>
    </row>
    <row r="3" spans="2:9">
      <c r="B3" s="890" t="s">
        <v>50</v>
      </c>
      <c r="C3" s="890"/>
      <c r="D3" s="890"/>
      <c r="E3" s="890"/>
      <c r="F3" s="890"/>
      <c r="G3" s="890"/>
      <c r="H3" s="890"/>
      <c r="I3" s="890"/>
    </row>
    <row r="4" spans="2:9">
      <c r="B4" s="890" t="s">
        <v>51</v>
      </c>
      <c r="C4" s="890"/>
      <c r="D4" s="890"/>
      <c r="E4" s="890"/>
      <c r="F4" s="890"/>
      <c r="G4" s="890"/>
      <c r="H4" s="890"/>
      <c r="I4" s="890"/>
    </row>
    <row r="5" spans="2:9">
      <c r="B5" s="890" t="s">
        <v>52</v>
      </c>
      <c r="C5" s="890"/>
      <c r="D5" s="890"/>
      <c r="E5" s="890"/>
      <c r="F5" s="890"/>
      <c r="G5" s="890"/>
      <c r="H5" s="890"/>
      <c r="I5" s="890"/>
    </row>
    <row r="6" spans="2:9">
      <c r="B6" s="890" t="s">
        <v>53</v>
      </c>
      <c r="C6" s="890"/>
      <c r="D6" s="890"/>
      <c r="E6" s="890"/>
      <c r="F6" s="890"/>
      <c r="G6" s="890"/>
      <c r="H6" s="890"/>
      <c r="I6" s="890"/>
    </row>
    <row r="7" spans="2:9">
      <c r="B7" s="62"/>
      <c r="C7" s="62"/>
      <c r="D7" s="62"/>
      <c r="E7" s="62"/>
      <c r="F7" s="62"/>
      <c r="G7" s="62"/>
      <c r="H7" s="62"/>
      <c r="I7" s="62"/>
    </row>
    <row r="8" spans="2:9">
      <c r="B8" s="99" t="s">
        <v>54</v>
      </c>
      <c r="C8" s="99"/>
      <c r="D8" s="99"/>
      <c r="E8" s="100"/>
      <c r="F8" s="100"/>
      <c r="G8" s="100"/>
      <c r="H8" s="100"/>
      <c r="I8" s="100"/>
    </row>
    <row r="9" spans="2:9">
      <c r="B9" s="873" t="s">
        <v>55</v>
      </c>
      <c r="C9" s="904"/>
      <c r="D9" s="904"/>
      <c r="E9" s="904"/>
      <c r="F9" s="904"/>
      <c r="G9" s="904"/>
      <c r="H9" s="904"/>
      <c r="I9" s="904"/>
    </row>
    <row r="10" spans="2:9">
      <c r="B10" s="905" t="s">
        <v>56</v>
      </c>
      <c r="C10" s="905"/>
      <c r="D10" s="905"/>
      <c r="E10" s="905"/>
      <c r="F10" s="905"/>
      <c r="G10" s="905"/>
      <c r="H10" s="905"/>
      <c r="I10" s="905"/>
    </row>
    <row r="11" spans="2:9" ht="15.75" thickBot="1">
      <c r="B11" s="75"/>
      <c r="C11" s="101"/>
      <c r="D11" s="101"/>
      <c r="E11" s="101"/>
      <c r="F11" s="101"/>
      <c r="G11" s="101"/>
      <c r="H11" s="101"/>
      <c r="I11" s="101"/>
    </row>
    <row r="12" spans="2:9" ht="15.75" thickTop="1">
      <c r="B12" s="906" t="s">
        <v>57</v>
      </c>
      <c r="C12" s="907"/>
      <c r="D12" s="907"/>
      <c r="E12" s="907"/>
      <c r="F12" s="907"/>
      <c r="G12" s="907"/>
      <c r="H12" s="907"/>
      <c r="I12" s="908"/>
    </row>
    <row r="13" spans="2:9">
      <c r="B13" s="909" t="s">
        <v>75</v>
      </c>
      <c r="C13" s="910"/>
      <c r="D13" s="910"/>
      <c r="E13" s="910"/>
      <c r="F13" s="910"/>
      <c r="G13" s="910"/>
      <c r="H13" s="910"/>
      <c r="I13" s="911"/>
    </row>
    <row r="14" spans="2:9" ht="15.75" thickBot="1">
      <c r="B14" s="912" t="s">
        <v>33</v>
      </c>
      <c r="C14" s="913"/>
      <c r="D14" s="913"/>
      <c r="E14" s="913"/>
      <c r="F14" s="913"/>
      <c r="G14" s="913"/>
      <c r="H14" s="913"/>
      <c r="I14" s="914"/>
    </row>
    <row r="15" spans="2:9" ht="16.5" thickTop="1" thickBot="1">
      <c r="B15" s="899" t="s">
        <v>58</v>
      </c>
      <c r="C15" s="897"/>
      <c r="D15" s="897"/>
      <c r="E15" s="897"/>
      <c r="F15" s="897"/>
      <c r="G15" s="897"/>
      <c r="H15" s="897">
        <v>140.77799999999999</v>
      </c>
      <c r="I15" s="898"/>
    </row>
    <row r="16" spans="2:9" ht="16.5" thickTop="1" thickBot="1">
      <c r="B16" s="899" t="s">
        <v>59</v>
      </c>
      <c r="C16" s="897"/>
      <c r="D16" s="897"/>
      <c r="E16" s="897"/>
      <c r="F16" s="897"/>
      <c r="G16" s="897"/>
      <c r="H16" s="897">
        <v>6.6</v>
      </c>
      <c r="I16" s="898"/>
    </row>
    <row r="17" spans="2:10" ht="16.5" thickTop="1" thickBot="1">
      <c r="B17" s="899" t="s">
        <v>60</v>
      </c>
      <c r="C17" s="897"/>
      <c r="D17" s="897"/>
      <c r="E17" s="897"/>
      <c r="F17" s="897"/>
      <c r="G17" s="897"/>
      <c r="H17" s="897">
        <v>13.4</v>
      </c>
      <c r="I17" s="898"/>
    </row>
    <row r="18" spans="2:10" ht="16.5" thickTop="1" thickBot="1">
      <c r="B18" s="899" t="s">
        <v>76</v>
      </c>
      <c r="C18" s="897"/>
      <c r="D18" s="897"/>
      <c r="E18" s="897"/>
      <c r="F18" s="897"/>
      <c r="G18" s="897"/>
      <c r="H18" s="897">
        <v>305.50416799999994</v>
      </c>
      <c r="I18" s="898"/>
    </row>
    <row r="19" spans="2:10" ht="16.5" thickTop="1" thickBot="1">
      <c r="B19" s="899" t="s">
        <v>77</v>
      </c>
      <c r="C19" s="897"/>
      <c r="D19" s="897"/>
      <c r="E19" s="897"/>
      <c r="F19" s="897"/>
      <c r="G19" s="897"/>
      <c r="H19" s="897">
        <v>275.20416799999992</v>
      </c>
      <c r="I19" s="898"/>
    </row>
    <row r="20" spans="2:10" ht="16.5" thickTop="1" thickBot="1">
      <c r="B20" s="899" t="s">
        <v>61</v>
      </c>
      <c r="C20" s="897"/>
      <c r="D20" s="897"/>
      <c r="E20" s="897"/>
      <c r="F20" s="897"/>
      <c r="G20" s="897"/>
      <c r="H20" s="897">
        <v>952.70020000000022</v>
      </c>
      <c r="I20" s="898"/>
    </row>
    <row r="21" spans="2:10" ht="16.5" thickTop="1" thickBot="1">
      <c r="B21" s="894" t="s">
        <v>62</v>
      </c>
      <c r="C21" s="895"/>
      <c r="D21" s="895"/>
      <c r="E21" s="895"/>
      <c r="F21" s="895"/>
      <c r="G21" s="895"/>
      <c r="H21" s="895">
        <v>1145.2902000000001</v>
      </c>
      <c r="I21" s="896"/>
    </row>
    <row r="22" spans="2:10" ht="16.5" thickTop="1" thickBot="1">
      <c r="B22" s="894" t="s">
        <v>33</v>
      </c>
      <c r="C22" s="895"/>
      <c r="D22" s="895"/>
      <c r="E22" s="895"/>
      <c r="F22" s="895"/>
      <c r="G22" s="895"/>
      <c r="H22" s="895">
        <v>2097.9904000000006</v>
      </c>
      <c r="I22" s="896"/>
    </row>
    <row r="23" spans="2:10" ht="16.5" thickTop="1" thickBot="1"/>
    <row r="24" spans="2:10" ht="15.75" thickBot="1">
      <c r="B24" s="63" t="s">
        <v>63</v>
      </c>
      <c r="C24" s="64" t="s">
        <v>64</v>
      </c>
      <c r="D24" s="64" t="s">
        <v>20</v>
      </c>
      <c r="E24" s="64" t="s">
        <v>65</v>
      </c>
      <c r="F24" s="64" t="s">
        <v>66</v>
      </c>
      <c r="G24" s="64" t="s">
        <v>67</v>
      </c>
      <c r="H24" s="64" t="s">
        <v>68</v>
      </c>
      <c r="I24" s="65" t="s">
        <v>69</v>
      </c>
    </row>
    <row r="25" spans="2:10" ht="15" customHeight="1">
      <c r="B25" s="78">
        <v>1</v>
      </c>
      <c r="C25" s="79">
        <v>4</v>
      </c>
      <c r="D25" s="79" t="s">
        <v>70</v>
      </c>
      <c r="E25" s="79">
        <v>313</v>
      </c>
      <c r="F25" s="79">
        <v>1.252</v>
      </c>
      <c r="G25" s="79">
        <v>0.55588799999999994</v>
      </c>
      <c r="H25" s="79">
        <v>5.03</v>
      </c>
      <c r="I25" s="80">
        <v>6.2975600000000007</v>
      </c>
      <c r="J25" s="66"/>
    </row>
    <row r="26" spans="2:10" ht="15" customHeight="1">
      <c r="B26" s="81">
        <v>2</v>
      </c>
      <c r="C26" s="82">
        <v>2</v>
      </c>
      <c r="D26" s="82" t="s">
        <v>70</v>
      </c>
      <c r="E26" s="82">
        <v>4831</v>
      </c>
      <c r="F26" s="82">
        <v>9.6620000000000008</v>
      </c>
      <c r="G26" s="79">
        <v>4.2899279999999997</v>
      </c>
      <c r="H26" s="82">
        <v>5.03</v>
      </c>
      <c r="I26" s="83">
        <v>48.599860000000007</v>
      </c>
    </row>
    <row r="27" spans="2:10">
      <c r="B27" s="81">
        <v>3</v>
      </c>
      <c r="C27" s="82">
        <v>4</v>
      </c>
      <c r="D27" s="82" t="s">
        <v>70</v>
      </c>
      <c r="E27" s="82">
        <v>745</v>
      </c>
      <c r="F27" s="82">
        <v>2.98</v>
      </c>
      <c r="G27" s="79">
        <v>1.3231199999999999</v>
      </c>
      <c r="H27" s="82">
        <v>5.03</v>
      </c>
      <c r="I27" s="83">
        <v>14.9894</v>
      </c>
    </row>
    <row r="28" spans="2:10">
      <c r="B28" s="81">
        <v>4</v>
      </c>
      <c r="C28" s="82">
        <v>4</v>
      </c>
      <c r="D28" s="82" t="s">
        <v>70</v>
      </c>
      <c r="E28" s="82">
        <v>601</v>
      </c>
      <c r="F28" s="82">
        <v>2.4039999999999999</v>
      </c>
      <c r="G28" s="79">
        <v>1.0673759999999999</v>
      </c>
      <c r="H28" s="82">
        <v>5.03</v>
      </c>
      <c r="I28" s="83">
        <v>12.09212</v>
      </c>
    </row>
    <row r="29" spans="2:10">
      <c r="B29" s="81">
        <v>5</v>
      </c>
      <c r="C29" s="82">
        <v>4</v>
      </c>
      <c r="D29" s="82" t="s">
        <v>70</v>
      </c>
      <c r="E29" s="82">
        <v>5871</v>
      </c>
      <c r="F29" s="82">
        <v>23.484000000000002</v>
      </c>
      <c r="G29" s="79">
        <v>10.426895999999999</v>
      </c>
      <c r="H29" s="82">
        <v>5.03</v>
      </c>
      <c r="I29" s="83">
        <v>118.12452000000002</v>
      </c>
    </row>
    <row r="30" spans="2:10" ht="15" customHeight="1">
      <c r="B30" s="81">
        <v>6</v>
      </c>
      <c r="C30" s="82">
        <v>4</v>
      </c>
      <c r="D30" s="82" t="s">
        <v>70</v>
      </c>
      <c r="E30" s="82">
        <v>690</v>
      </c>
      <c r="F30" s="82">
        <v>2.76</v>
      </c>
      <c r="G30" s="79">
        <v>1.2254399999999999</v>
      </c>
      <c r="H30" s="82">
        <v>5.03</v>
      </c>
      <c r="I30" s="83">
        <v>13.8828</v>
      </c>
    </row>
    <row r="31" spans="2:10">
      <c r="B31" s="81">
        <v>7</v>
      </c>
      <c r="C31" s="82">
        <v>2</v>
      </c>
      <c r="D31" s="82" t="s">
        <v>70</v>
      </c>
      <c r="E31" s="82">
        <v>4758</v>
      </c>
      <c r="F31" s="82">
        <v>9.516</v>
      </c>
      <c r="G31" s="79">
        <v>4.225104</v>
      </c>
      <c r="H31" s="82">
        <v>5.03</v>
      </c>
      <c r="I31" s="83">
        <v>47.865480000000005</v>
      </c>
    </row>
    <row r="32" spans="2:10">
      <c r="B32" s="81">
        <v>8</v>
      </c>
      <c r="C32" s="82">
        <v>2</v>
      </c>
      <c r="D32" s="82" t="s">
        <v>70</v>
      </c>
      <c r="E32" s="82">
        <v>1116</v>
      </c>
      <c r="F32" s="82">
        <v>2.2320000000000002</v>
      </c>
      <c r="G32" s="79">
        <v>0.991008</v>
      </c>
      <c r="H32" s="82">
        <v>5.03</v>
      </c>
      <c r="I32" s="83">
        <v>11.226960000000002</v>
      </c>
    </row>
    <row r="33" spans="2:9">
      <c r="B33" s="81">
        <v>9</v>
      </c>
      <c r="C33" s="82">
        <v>2</v>
      </c>
      <c r="D33" s="82" t="s">
        <v>70</v>
      </c>
      <c r="E33" s="82">
        <v>3373</v>
      </c>
      <c r="F33" s="82">
        <v>6.7460000000000004</v>
      </c>
      <c r="G33" s="79">
        <v>2.9952239999999999</v>
      </c>
      <c r="H33" s="82">
        <v>5.03</v>
      </c>
      <c r="I33" s="83">
        <v>33.932380000000002</v>
      </c>
    </row>
    <row r="34" spans="2:9">
      <c r="B34" s="81">
        <v>10</v>
      </c>
      <c r="C34" s="82">
        <v>2</v>
      </c>
      <c r="D34" s="82" t="s">
        <v>70</v>
      </c>
      <c r="E34" s="82">
        <v>2363</v>
      </c>
      <c r="F34" s="82">
        <v>4.726</v>
      </c>
      <c r="G34" s="79">
        <v>2.0983439999999995</v>
      </c>
      <c r="H34" s="82">
        <v>5.03</v>
      </c>
      <c r="I34" s="83">
        <v>23.77178</v>
      </c>
    </row>
    <row r="35" spans="2:9">
      <c r="B35" s="81">
        <v>11</v>
      </c>
      <c r="C35" s="82">
        <v>4</v>
      </c>
      <c r="D35" s="82" t="s">
        <v>70</v>
      </c>
      <c r="E35" s="82">
        <v>3751</v>
      </c>
      <c r="F35" s="82">
        <v>15.004</v>
      </c>
      <c r="G35" s="79">
        <v>6.6617759999999988</v>
      </c>
      <c r="H35" s="82">
        <v>5.03</v>
      </c>
      <c r="I35" s="83">
        <v>75.470120000000009</v>
      </c>
    </row>
    <row r="36" spans="2:9">
      <c r="B36" s="81">
        <v>12</v>
      </c>
      <c r="C36" s="82">
        <v>2</v>
      </c>
      <c r="D36" s="82" t="s">
        <v>70</v>
      </c>
      <c r="E36" s="82">
        <v>2078</v>
      </c>
      <c r="F36" s="82">
        <v>4.1559999999999997</v>
      </c>
      <c r="G36" s="79">
        <v>1.8452639999999996</v>
      </c>
      <c r="H36" s="82">
        <v>5.03</v>
      </c>
      <c r="I36" s="83">
        <v>20.904679999999999</v>
      </c>
    </row>
    <row r="37" spans="2:9">
      <c r="B37" s="81">
        <v>13</v>
      </c>
      <c r="C37" s="82">
        <v>2</v>
      </c>
      <c r="D37" s="82" t="s">
        <v>70</v>
      </c>
      <c r="E37" s="82">
        <v>2440</v>
      </c>
      <c r="F37" s="82">
        <v>4.88</v>
      </c>
      <c r="G37" s="79">
        <v>2.1667199999999998</v>
      </c>
      <c r="H37" s="82">
        <v>5.03</v>
      </c>
      <c r="I37" s="83">
        <v>24.546400000000002</v>
      </c>
    </row>
    <row r="38" spans="2:9">
      <c r="B38" s="81">
        <v>14</v>
      </c>
      <c r="C38" s="82">
        <v>2</v>
      </c>
      <c r="D38" s="82" t="s">
        <v>70</v>
      </c>
      <c r="E38" s="82">
        <v>2999</v>
      </c>
      <c r="F38" s="82">
        <v>5.9980000000000002</v>
      </c>
      <c r="G38" s="79">
        <v>2.6631119999999999</v>
      </c>
      <c r="H38" s="82">
        <v>5.03</v>
      </c>
      <c r="I38" s="83">
        <v>30.169940000000004</v>
      </c>
    </row>
    <row r="39" spans="2:9">
      <c r="B39" s="81">
        <v>15</v>
      </c>
      <c r="C39" s="82">
        <v>2</v>
      </c>
      <c r="D39" s="82" t="s">
        <v>70</v>
      </c>
      <c r="E39" s="82">
        <v>1382</v>
      </c>
      <c r="F39" s="82">
        <v>2.7639999999999998</v>
      </c>
      <c r="G39" s="79">
        <v>1.2272159999999999</v>
      </c>
      <c r="H39" s="82">
        <v>5.03</v>
      </c>
      <c r="I39" s="83">
        <v>13.90292</v>
      </c>
    </row>
    <row r="40" spans="2:9">
      <c r="B40" s="84">
        <v>16</v>
      </c>
      <c r="C40" s="85">
        <v>2</v>
      </c>
      <c r="D40" s="85" t="s">
        <v>71</v>
      </c>
      <c r="E40" s="85">
        <v>736</v>
      </c>
      <c r="F40" s="85">
        <v>1.472</v>
      </c>
      <c r="G40" s="85">
        <v>0.57996800000000004</v>
      </c>
      <c r="H40" s="85">
        <v>4.4000000000000004</v>
      </c>
      <c r="I40" s="86">
        <v>6.4768000000000008</v>
      </c>
    </row>
    <row r="41" spans="2:9">
      <c r="B41" s="84">
        <v>17</v>
      </c>
      <c r="C41" s="85">
        <v>30</v>
      </c>
      <c r="D41" s="85" t="s">
        <v>71</v>
      </c>
      <c r="E41" s="85">
        <v>938</v>
      </c>
      <c r="F41" s="85">
        <v>28.14</v>
      </c>
      <c r="G41" s="85">
        <v>11.087160000000001</v>
      </c>
      <c r="H41" s="85">
        <v>4.4000000000000004</v>
      </c>
      <c r="I41" s="86">
        <v>123.81600000000002</v>
      </c>
    </row>
    <row r="42" spans="2:9">
      <c r="B42" s="84">
        <v>18</v>
      </c>
      <c r="C42" s="85">
        <v>10</v>
      </c>
      <c r="D42" s="85" t="s">
        <v>71</v>
      </c>
      <c r="E42" s="85">
        <v>1117</v>
      </c>
      <c r="F42" s="85">
        <v>11.17</v>
      </c>
      <c r="G42" s="85">
        <v>4.4009800000000006</v>
      </c>
      <c r="H42" s="85">
        <v>4.4000000000000004</v>
      </c>
      <c r="I42" s="86">
        <v>49.148000000000003</v>
      </c>
    </row>
    <row r="43" spans="2:9">
      <c r="B43" s="84">
        <v>19</v>
      </c>
      <c r="C43" s="85">
        <v>4</v>
      </c>
      <c r="D43" s="85" t="s">
        <v>71</v>
      </c>
      <c r="E43" s="85">
        <v>997</v>
      </c>
      <c r="F43" s="85">
        <v>3.988</v>
      </c>
      <c r="G43" s="85">
        <v>1.571272</v>
      </c>
      <c r="H43" s="85">
        <v>4.4000000000000004</v>
      </c>
      <c r="I43" s="86">
        <v>17.5472</v>
      </c>
    </row>
    <row r="44" spans="2:9">
      <c r="B44" s="84">
        <v>20</v>
      </c>
      <c r="C44" s="85">
        <v>8</v>
      </c>
      <c r="D44" s="85" t="s">
        <v>71</v>
      </c>
      <c r="E44" s="85">
        <v>624</v>
      </c>
      <c r="F44" s="85">
        <v>4.992</v>
      </c>
      <c r="G44" s="85">
        <v>1.9668480000000002</v>
      </c>
      <c r="H44" s="85">
        <v>4.4000000000000004</v>
      </c>
      <c r="I44" s="86">
        <v>21.9648</v>
      </c>
    </row>
    <row r="45" spans="2:9">
      <c r="B45" s="84">
        <v>21</v>
      </c>
      <c r="C45" s="85">
        <v>4</v>
      </c>
      <c r="D45" s="85" t="s">
        <v>71</v>
      </c>
      <c r="E45" s="85">
        <v>500</v>
      </c>
      <c r="F45" s="85">
        <v>2</v>
      </c>
      <c r="G45" s="85">
        <v>0.78800000000000003</v>
      </c>
      <c r="H45" s="85">
        <v>4.4000000000000004</v>
      </c>
      <c r="I45" s="86">
        <v>8.8000000000000007</v>
      </c>
    </row>
    <row r="46" spans="2:9">
      <c r="B46" s="84">
        <v>22</v>
      </c>
      <c r="C46" s="85">
        <v>2</v>
      </c>
      <c r="D46" s="85" t="s">
        <v>71</v>
      </c>
      <c r="E46" s="85">
        <v>1152</v>
      </c>
      <c r="F46" s="85">
        <v>2.3039999999999998</v>
      </c>
      <c r="G46" s="85">
        <v>0.90777599999999992</v>
      </c>
      <c r="H46" s="85">
        <v>4.4000000000000004</v>
      </c>
      <c r="I46" s="86">
        <v>10.137600000000001</v>
      </c>
    </row>
    <row r="47" spans="2:9">
      <c r="B47" s="84">
        <v>23</v>
      </c>
      <c r="C47" s="85">
        <v>4</v>
      </c>
      <c r="D47" s="85" t="s">
        <v>71</v>
      </c>
      <c r="E47" s="85">
        <v>1115</v>
      </c>
      <c r="F47" s="85">
        <v>4.46</v>
      </c>
      <c r="G47" s="85">
        <v>1.7572400000000001</v>
      </c>
      <c r="H47" s="85">
        <v>4.4000000000000004</v>
      </c>
      <c r="I47" s="86">
        <v>19.624000000000002</v>
      </c>
    </row>
    <row r="48" spans="2:9">
      <c r="B48" s="84">
        <v>24</v>
      </c>
      <c r="C48" s="85">
        <v>2</v>
      </c>
      <c r="D48" s="85" t="s">
        <v>71</v>
      </c>
      <c r="E48" s="85">
        <v>1666</v>
      </c>
      <c r="F48" s="85">
        <v>3.3319999999999999</v>
      </c>
      <c r="G48" s="85">
        <v>1.312808</v>
      </c>
      <c r="H48" s="85">
        <v>4.4000000000000004</v>
      </c>
      <c r="I48" s="86">
        <v>14.6608</v>
      </c>
    </row>
    <row r="49" spans="2:14">
      <c r="B49" s="84">
        <v>25</v>
      </c>
      <c r="C49" s="85">
        <v>2</v>
      </c>
      <c r="D49" s="85" t="s">
        <v>71</v>
      </c>
      <c r="E49" s="85">
        <v>1270</v>
      </c>
      <c r="F49" s="85">
        <v>2.54</v>
      </c>
      <c r="G49" s="85">
        <v>1.0007600000000001</v>
      </c>
      <c r="H49" s="85">
        <v>4.4000000000000004</v>
      </c>
      <c r="I49" s="86">
        <v>11.176000000000002</v>
      </c>
    </row>
    <row r="50" spans="2:14">
      <c r="B50" s="84">
        <v>26</v>
      </c>
      <c r="C50" s="85">
        <v>2</v>
      </c>
      <c r="D50" s="85" t="s">
        <v>71</v>
      </c>
      <c r="E50" s="85">
        <v>1616</v>
      </c>
      <c r="F50" s="85">
        <v>3.2320000000000002</v>
      </c>
      <c r="G50" s="85">
        <v>1.2734080000000001</v>
      </c>
      <c r="H50" s="85">
        <v>4.4000000000000004</v>
      </c>
      <c r="I50" s="86">
        <v>14.220800000000002</v>
      </c>
    </row>
    <row r="51" spans="2:14">
      <c r="B51" s="84">
        <v>27</v>
      </c>
      <c r="C51" s="85">
        <v>10</v>
      </c>
      <c r="D51" s="85" t="s">
        <v>71</v>
      </c>
      <c r="E51" s="85">
        <v>965</v>
      </c>
      <c r="F51" s="85">
        <v>9.65</v>
      </c>
      <c r="G51" s="85">
        <v>3.8021000000000003</v>
      </c>
      <c r="H51" s="85">
        <v>4.4000000000000004</v>
      </c>
      <c r="I51" s="86">
        <v>42.460000000000008</v>
      </c>
    </row>
    <row r="52" spans="2:14">
      <c r="B52" s="84">
        <v>28</v>
      </c>
      <c r="C52" s="85">
        <v>8</v>
      </c>
      <c r="D52" s="85" t="s">
        <v>71</v>
      </c>
      <c r="E52" s="85">
        <v>1132</v>
      </c>
      <c r="F52" s="85">
        <v>9.0559999999999992</v>
      </c>
      <c r="G52" s="85">
        <v>3.5680639999999997</v>
      </c>
      <c r="H52" s="85">
        <v>4.4000000000000004</v>
      </c>
      <c r="I52" s="86">
        <v>39.846400000000003</v>
      </c>
    </row>
    <row r="53" spans="2:14">
      <c r="B53" s="84">
        <v>29</v>
      </c>
      <c r="C53" s="85">
        <v>6</v>
      </c>
      <c r="D53" s="85" t="s">
        <v>71</v>
      </c>
      <c r="E53" s="85">
        <v>1218</v>
      </c>
      <c r="F53" s="85">
        <v>7.3079999999999998</v>
      </c>
      <c r="G53" s="85">
        <v>2.8793519999999999</v>
      </c>
      <c r="H53" s="85">
        <v>4.4000000000000004</v>
      </c>
      <c r="I53" s="86">
        <v>32.155200000000001</v>
      </c>
    </row>
    <row r="54" spans="2:14">
      <c r="B54" s="84">
        <v>30</v>
      </c>
      <c r="C54" s="85">
        <v>2</v>
      </c>
      <c r="D54" s="85" t="s">
        <v>71</v>
      </c>
      <c r="E54" s="85">
        <v>1043</v>
      </c>
      <c r="F54" s="85">
        <v>2.0859999999999999</v>
      </c>
      <c r="G54" s="85">
        <v>0.82188399999999995</v>
      </c>
      <c r="H54" s="85">
        <v>4.4000000000000004</v>
      </c>
      <c r="I54" s="86">
        <v>9.1783999999999999</v>
      </c>
    </row>
    <row r="55" spans="2:14">
      <c r="B55" s="84">
        <v>31</v>
      </c>
      <c r="C55" s="85">
        <v>2</v>
      </c>
      <c r="D55" s="85" t="s">
        <v>71</v>
      </c>
      <c r="E55" s="85">
        <v>1021</v>
      </c>
      <c r="F55" s="85">
        <v>2.0419999999999998</v>
      </c>
      <c r="G55" s="85">
        <v>0.80454799999999993</v>
      </c>
      <c r="H55" s="85">
        <v>4.4000000000000004</v>
      </c>
      <c r="I55" s="86">
        <v>8.9847999999999999</v>
      </c>
      <c r="L55" s="67"/>
      <c r="M55" s="67"/>
      <c r="N55" s="67"/>
    </row>
    <row r="56" spans="2:14">
      <c r="B56" s="87">
        <v>32</v>
      </c>
      <c r="C56" s="88">
        <v>2</v>
      </c>
      <c r="D56" s="88" t="s">
        <v>72</v>
      </c>
      <c r="E56" s="88">
        <v>1096</v>
      </c>
      <c r="F56" s="88">
        <v>2.1920000000000002</v>
      </c>
      <c r="G56" s="88">
        <v>1.012704</v>
      </c>
      <c r="H56" s="88">
        <v>5.0199999999999996</v>
      </c>
      <c r="I56" s="89">
        <v>11.00384</v>
      </c>
      <c r="L56" s="67"/>
      <c r="M56" s="68"/>
      <c r="N56" s="67"/>
    </row>
    <row r="57" spans="2:14">
      <c r="B57" s="87">
        <v>33</v>
      </c>
      <c r="C57" s="88">
        <v>2</v>
      </c>
      <c r="D57" s="88" t="s">
        <v>72</v>
      </c>
      <c r="E57" s="88">
        <v>863</v>
      </c>
      <c r="F57" s="88">
        <v>1.726</v>
      </c>
      <c r="G57" s="88">
        <v>0.7974119999999999</v>
      </c>
      <c r="H57" s="88">
        <v>5.0199999999999996</v>
      </c>
      <c r="I57" s="89">
        <v>8.6645199999999996</v>
      </c>
      <c r="L57" s="67"/>
      <c r="M57" s="68"/>
      <c r="N57" s="67"/>
    </row>
    <row r="58" spans="2:14">
      <c r="B58" s="87">
        <v>34</v>
      </c>
      <c r="C58" s="88">
        <v>2</v>
      </c>
      <c r="D58" s="88" t="s">
        <v>72</v>
      </c>
      <c r="E58" s="88">
        <v>703</v>
      </c>
      <c r="F58" s="88">
        <v>1.4059999999999999</v>
      </c>
      <c r="G58" s="88">
        <v>0.64957199999999993</v>
      </c>
      <c r="H58" s="88">
        <v>5.0199999999999996</v>
      </c>
      <c r="I58" s="89">
        <v>7.0581199999999988</v>
      </c>
      <c r="L58" s="67"/>
      <c r="M58" s="68"/>
      <c r="N58" s="67"/>
    </row>
    <row r="59" spans="2:14" ht="15.75" thickBot="1">
      <c r="B59" s="891" t="s">
        <v>32</v>
      </c>
      <c r="C59" s="892"/>
      <c r="D59" s="892"/>
      <c r="E59" s="892"/>
      <c r="F59" s="893"/>
      <c r="G59" s="70">
        <v>84.744271999999981</v>
      </c>
      <c r="H59" s="69"/>
      <c r="I59" s="70">
        <v>952.70020000000022</v>
      </c>
    </row>
    <row r="60" spans="2:14" ht="15.75" thickBot="1"/>
    <row r="61" spans="2:14" ht="15.75" thickBot="1">
      <c r="B61" s="63"/>
      <c r="C61" s="64"/>
      <c r="D61" s="64"/>
      <c r="E61" s="64"/>
      <c r="F61" s="64"/>
      <c r="G61" s="64"/>
      <c r="H61" s="64"/>
      <c r="I61" s="65"/>
    </row>
    <row r="62" spans="2:14">
      <c r="B62" s="92">
        <v>1</v>
      </c>
      <c r="C62" s="93">
        <v>200</v>
      </c>
      <c r="D62" s="93" t="s">
        <v>73</v>
      </c>
      <c r="E62" s="93">
        <v>372</v>
      </c>
      <c r="F62" s="93">
        <v>74.400000000000006</v>
      </c>
      <c r="G62" s="93">
        <v>7.4400000000000013</v>
      </c>
      <c r="H62" s="93">
        <v>0.311</v>
      </c>
      <c r="I62" s="94">
        <v>23.138400000000001</v>
      </c>
    </row>
    <row r="63" spans="2:14">
      <c r="B63" s="90">
        <v>2</v>
      </c>
      <c r="C63" s="91">
        <v>16</v>
      </c>
      <c r="D63" s="91" t="s">
        <v>73</v>
      </c>
      <c r="E63" s="91">
        <v>315</v>
      </c>
      <c r="F63" s="91">
        <v>5.04</v>
      </c>
      <c r="G63" s="93">
        <v>0.504</v>
      </c>
      <c r="H63" s="91">
        <v>0.311</v>
      </c>
      <c r="I63" s="95">
        <v>1.5674399999999999</v>
      </c>
    </row>
    <row r="64" spans="2:14">
      <c r="B64" s="96">
        <v>3</v>
      </c>
      <c r="C64" s="97">
        <v>58</v>
      </c>
      <c r="D64" s="97" t="s">
        <v>74</v>
      </c>
      <c r="E64" s="97">
        <v>6594</v>
      </c>
      <c r="F64" s="97">
        <v>382.452</v>
      </c>
      <c r="G64" s="97">
        <v>152.21589599999996</v>
      </c>
      <c r="H64" s="97">
        <v>2.93</v>
      </c>
      <c r="I64" s="98">
        <v>1120.5843600000001</v>
      </c>
    </row>
    <row r="65" spans="2:9" ht="15.75" thickBot="1">
      <c r="B65" s="891" t="s">
        <v>32</v>
      </c>
      <c r="C65" s="892"/>
      <c r="D65" s="892"/>
      <c r="E65" s="892"/>
      <c r="F65" s="893"/>
      <c r="G65" s="72">
        <v>160.15989599999995</v>
      </c>
      <c r="H65" s="69"/>
      <c r="I65" s="71">
        <v>1145.2902000000001</v>
      </c>
    </row>
    <row r="66" spans="2:9" ht="15.75" thickBot="1"/>
    <row r="67" spans="2:9">
      <c r="B67" s="900" t="s">
        <v>78</v>
      </c>
      <c r="C67" s="901"/>
      <c r="D67" s="901"/>
      <c r="E67" s="901"/>
      <c r="F67" s="901"/>
      <c r="G67" s="73">
        <v>60.6</v>
      </c>
    </row>
    <row r="68" spans="2:9" ht="15.75" thickBot="1">
      <c r="B68" s="902" t="s">
        <v>79</v>
      </c>
      <c r="C68" s="903"/>
      <c r="D68" s="903"/>
      <c r="E68" s="903"/>
      <c r="F68" s="903"/>
      <c r="G68" s="74">
        <v>30.3</v>
      </c>
    </row>
  </sheetData>
  <mergeCells count="31">
    <mergeCell ref="B67:F67"/>
    <mergeCell ref="B68:F68"/>
    <mergeCell ref="B15:G15"/>
    <mergeCell ref="H15:I15"/>
    <mergeCell ref="B1:I1"/>
    <mergeCell ref="B2:I2"/>
    <mergeCell ref="B3:I3"/>
    <mergeCell ref="B4:I4"/>
    <mergeCell ref="B5:I5"/>
    <mergeCell ref="B6:I6"/>
    <mergeCell ref="B9:I9"/>
    <mergeCell ref="B10:I10"/>
    <mergeCell ref="B12:I12"/>
    <mergeCell ref="B13:I13"/>
    <mergeCell ref="B14:I14"/>
    <mergeCell ref="B16:G16"/>
    <mergeCell ref="H16:I16"/>
    <mergeCell ref="B17:G17"/>
    <mergeCell ref="H17:I17"/>
    <mergeCell ref="B20:G20"/>
    <mergeCell ref="H20:I20"/>
    <mergeCell ref="B18:G18"/>
    <mergeCell ref="H18:I18"/>
    <mergeCell ref="B19:G19"/>
    <mergeCell ref="H19:I19"/>
    <mergeCell ref="B59:F59"/>
    <mergeCell ref="B65:F65"/>
    <mergeCell ref="B21:G21"/>
    <mergeCell ref="H21:I21"/>
    <mergeCell ref="B22:G22"/>
    <mergeCell ref="H22:I22"/>
  </mergeCells>
  <pageMargins left="0.511811024" right="0.511811024" top="0.78740157499999996" bottom="0.78740157499999996" header="0.31496062000000002" footer="0.31496062000000002"/>
  <pageSetup scale="9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5"/>
  <sheetViews>
    <sheetView topLeftCell="A43" workbookViewId="0">
      <selection activeCell="C17" sqref="C17"/>
    </sheetView>
  </sheetViews>
  <sheetFormatPr defaultRowHeight="15"/>
  <cols>
    <col min="1" max="1" width="12.7109375" customWidth="1"/>
    <col min="2" max="2" width="58.140625" customWidth="1"/>
    <col min="3" max="3" width="19" customWidth="1"/>
    <col min="4" max="4" width="9.7109375" bestFit="1" customWidth="1"/>
    <col min="5" max="5" width="11.28515625" bestFit="1" customWidth="1"/>
    <col min="6" max="6" width="10.140625" customWidth="1"/>
    <col min="7" max="7" width="17.140625" bestFit="1" customWidth="1"/>
  </cols>
  <sheetData>
    <row r="1" spans="1:8">
      <c r="A1" s="102"/>
      <c r="B1" s="102"/>
      <c r="C1" s="102"/>
      <c r="D1" s="102"/>
      <c r="E1" s="102"/>
      <c r="F1" s="102"/>
      <c r="G1" s="102"/>
      <c r="H1" s="104"/>
    </row>
    <row r="2" spans="1:8" ht="25.5">
      <c r="A2" s="115" t="s">
        <v>26</v>
      </c>
      <c r="B2" s="116" t="s">
        <v>100</v>
      </c>
      <c r="C2" s="117" t="s">
        <v>14</v>
      </c>
      <c r="D2" s="117" t="s">
        <v>9</v>
      </c>
      <c r="E2" s="118"/>
      <c r="F2" s="119"/>
      <c r="G2" s="120"/>
      <c r="H2" s="104"/>
    </row>
    <row r="3" spans="1:8">
      <c r="A3" s="121" t="s">
        <v>89</v>
      </c>
      <c r="B3" s="122" t="s">
        <v>90</v>
      </c>
      <c r="C3" s="123" t="s">
        <v>30</v>
      </c>
      <c r="D3" s="123" t="s">
        <v>12</v>
      </c>
      <c r="E3" s="123">
        <v>0.55769999999999997</v>
      </c>
      <c r="F3" s="119"/>
      <c r="G3" s="120"/>
      <c r="H3" s="104"/>
    </row>
    <row r="4" spans="1:8" ht="25.5">
      <c r="A4" s="124" t="s">
        <v>91</v>
      </c>
      <c r="B4" s="125" t="s">
        <v>92</v>
      </c>
      <c r="C4" s="123" t="s">
        <v>30</v>
      </c>
      <c r="D4" s="123" t="s">
        <v>10</v>
      </c>
      <c r="E4" s="123" t="s">
        <v>93</v>
      </c>
      <c r="F4" s="126"/>
      <c r="G4" s="120"/>
      <c r="H4" s="104"/>
    </row>
    <row r="5" spans="1:8" ht="38.25">
      <c r="A5" s="124" t="s">
        <v>94</v>
      </c>
      <c r="B5" s="125" t="s">
        <v>95</v>
      </c>
      <c r="C5" s="123" t="s">
        <v>30</v>
      </c>
      <c r="D5" s="123" t="s">
        <v>9</v>
      </c>
      <c r="E5" s="123">
        <v>1.0720000000000001</v>
      </c>
      <c r="F5" s="126"/>
      <c r="G5" s="120"/>
      <c r="H5" s="104"/>
    </row>
    <row r="6" spans="1:8">
      <c r="A6" s="127" t="s">
        <v>85</v>
      </c>
      <c r="B6" s="128" t="s">
        <v>86</v>
      </c>
      <c r="C6" s="123" t="s">
        <v>30</v>
      </c>
      <c r="D6" s="129" t="s">
        <v>12</v>
      </c>
      <c r="E6" s="129">
        <v>3.7400000000000003E-2</v>
      </c>
      <c r="F6" s="130"/>
      <c r="G6" s="120"/>
      <c r="H6" s="104"/>
    </row>
    <row r="7" spans="1:8" ht="25.5">
      <c r="A7" s="127" t="s">
        <v>97</v>
      </c>
      <c r="B7" s="128" t="s">
        <v>98</v>
      </c>
      <c r="C7" s="123" t="s">
        <v>30</v>
      </c>
      <c r="D7" s="129" t="s">
        <v>10</v>
      </c>
      <c r="E7" s="129" t="s">
        <v>84</v>
      </c>
      <c r="F7" s="130"/>
      <c r="G7" s="120"/>
      <c r="H7" s="104"/>
    </row>
    <row r="8" spans="1:8">
      <c r="A8" s="127" t="s">
        <v>80</v>
      </c>
      <c r="B8" s="128" t="s">
        <v>81</v>
      </c>
      <c r="C8" s="123" t="s">
        <v>16</v>
      </c>
      <c r="D8" s="129" t="s">
        <v>15</v>
      </c>
      <c r="E8" s="129" t="s">
        <v>99</v>
      </c>
      <c r="F8" s="130"/>
      <c r="G8" s="120"/>
      <c r="H8" s="104"/>
    </row>
    <row r="9" spans="1:8">
      <c r="A9" s="127" t="s">
        <v>27</v>
      </c>
      <c r="B9" s="128" t="s">
        <v>17</v>
      </c>
      <c r="C9" s="123" t="s">
        <v>16</v>
      </c>
      <c r="D9" s="129" t="s">
        <v>15</v>
      </c>
      <c r="E9" s="129" t="s">
        <v>96</v>
      </c>
      <c r="F9" s="130"/>
      <c r="G9" s="120"/>
      <c r="H9" s="104"/>
    </row>
    <row r="10" spans="1:8">
      <c r="A10" s="127"/>
      <c r="B10" s="128"/>
      <c r="C10" s="129"/>
      <c r="D10" s="129"/>
      <c r="E10" s="129"/>
      <c r="F10" s="130"/>
      <c r="G10" s="131"/>
      <c r="H10" s="104"/>
    </row>
    <row r="11" spans="1:8">
      <c r="A11" s="127"/>
      <c r="B11" s="128"/>
      <c r="C11" s="129"/>
      <c r="D11" s="129"/>
      <c r="E11" s="129"/>
      <c r="F11" s="130"/>
      <c r="G11" s="131"/>
      <c r="H11" s="104"/>
    </row>
    <row r="12" spans="1:8">
      <c r="A12" s="121"/>
      <c r="B12" s="122"/>
      <c r="C12" s="123"/>
      <c r="D12" s="123"/>
      <c r="E12" s="132"/>
      <c r="F12" s="119"/>
      <c r="G12" s="120"/>
      <c r="H12" s="104"/>
    </row>
    <row r="13" spans="1:8">
      <c r="A13" s="915"/>
      <c r="B13" s="916"/>
      <c r="C13" s="916"/>
      <c r="D13" s="916"/>
      <c r="E13" s="916"/>
      <c r="F13" s="916"/>
      <c r="G13" s="917"/>
      <c r="H13" s="104"/>
    </row>
    <row r="14" spans="1:8">
      <c r="A14" s="102"/>
      <c r="B14" s="102"/>
      <c r="C14" s="102"/>
      <c r="D14" s="102"/>
      <c r="E14" s="102"/>
      <c r="F14" s="102"/>
      <c r="G14" s="102"/>
      <c r="H14" s="104"/>
    </row>
    <row r="15" spans="1:8" ht="38.25">
      <c r="A15" s="115" t="s">
        <v>26</v>
      </c>
      <c r="B15" s="116" t="s">
        <v>138</v>
      </c>
      <c r="C15" s="117" t="s">
        <v>14</v>
      </c>
      <c r="D15" s="117" t="s">
        <v>0</v>
      </c>
      <c r="E15" s="118"/>
      <c r="F15" s="119"/>
      <c r="G15" s="120"/>
      <c r="H15" s="104"/>
    </row>
    <row r="16" spans="1:8">
      <c r="A16" s="121" t="s">
        <v>89</v>
      </c>
      <c r="B16" s="122" t="s">
        <v>90</v>
      </c>
      <c r="C16" s="123" t="s">
        <v>30</v>
      </c>
      <c r="D16" s="123" t="s">
        <v>12</v>
      </c>
      <c r="E16" s="123">
        <v>0.59250000000000003</v>
      </c>
      <c r="F16" s="119"/>
      <c r="G16" s="120"/>
      <c r="H16" s="104"/>
    </row>
    <row r="17" spans="1:16" ht="25.5">
      <c r="A17" s="124" t="s">
        <v>91</v>
      </c>
      <c r="B17" s="125" t="s">
        <v>92</v>
      </c>
      <c r="C17" s="123" t="s">
        <v>30</v>
      </c>
      <c r="D17" s="123" t="s">
        <v>10</v>
      </c>
      <c r="E17" s="123" t="s">
        <v>93</v>
      </c>
      <c r="F17" s="126"/>
      <c r="G17" s="120"/>
      <c r="H17" s="104"/>
    </row>
    <row r="18" spans="1:16" ht="38.25">
      <c r="A18" s="124" t="s">
        <v>94</v>
      </c>
      <c r="B18" s="125" t="s">
        <v>95</v>
      </c>
      <c r="C18" s="123" t="s">
        <v>30</v>
      </c>
      <c r="D18" s="123" t="s">
        <v>9</v>
      </c>
      <c r="E18" s="123">
        <v>1.139</v>
      </c>
      <c r="F18" s="126"/>
      <c r="G18" s="120"/>
      <c r="H18" s="104"/>
    </row>
    <row r="19" spans="1:16">
      <c r="A19" s="127" t="s">
        <v>85</v>
      </c>
      <c r="B19" s="128" t="s">
        <v>86</v>
      </c>
      <c r="C19" s="123" t="s">
        <v>30</v>
      </c>
      <c r="D19" s="129" t="s">
        <v>12</v>
      </c>
      <c r="E19" s="129">
        <v>3.9800000000000002E-2</v>
      </c>
      <c r="F19" s="130"/>
      <c r="G19" s="120"/>
      <c r="H19" s="104"/>
    </row>
    <row r="20" spans="1:16" ht="25.5">
      <c r="A20" s="127" t="s">
        <v>97</v>
      </c>
      <c r="B20" s="128" t="s">
        <v>98</v>
      </c>
      <c r="C20" s="123" t="s">
        <v>30</v>
      </c>
      <c r="D20" s="129" t="s">
        <v>10</v>
      </c>
      <c r="E20" s="129" t="s">
        <v>84</v>
      </c>
      <c r="F20" s="130"/>
      <c r="G20" s="120"/>
      <c r="H20" s="104"/>
    </row>
    <row r="21" spans="1:16">
      <c r="A21" s="127" t="s">
        <v>80</v>
      </c>
      <c r="B21" s="128" t="s">
        <v>81</v>
      </c>
      <c r="C21" s="123" t="s">
        <v>16</v>
      </c>
      <c r="D21" s="129" t="s">
        <v>15</v>
      </c>
      <c r="E21" s="129" t="s">
        <v>99</v>
      </c>
      <c r="F21" s="130"/>
      <c r="G21" s="120"/>
      <c r="H21" s="104"/>
    </row>
    <row r="22" spans="1:16">
      <c r="A22" s="127" t="s">
        <v>27</v>
      </c>
      <c r="B22" s="128" t="s">
        <v>17</v>
      </c>
      <c r="C22" s="123" t="s">
        <v>16</v>
      </c>
      <c r="D22" s="129" t="s">
        <v>15</v>
      </c>
      <c r="E22" s="129" t="s">
        <v>96</v>
      </c>
      <c r="F22" s="130"/>
      <c r="G22" s="120"/>
      <c r="H22" s="104"/>
    </row>
    <row r="23" spans="1:16">
      <c r="A23" s="127"/>
      <c r="B23" s="128"/>
      <c r="C23" s="129"/>
      <c r="D23" s="129"/>
      <c r="E23" s="129"/>
      <c r="F23" s="130"/>
      <c r="G23" s="131"/>
      <c r="H23" s="104"/>
    </row>
    <row r="24" spans="1:16">
      <c r="A24" s="127"/>
      <c r="B24" s="128"/>
      <c r="C24" s="129"/>
      <c r="D24" s="129"/>
      <c r="E24" s="129"/>
      <c r="F24" s="130"/>
      <c r="G24" s="131"/>
      <c r="H24" s="104"/>
    </row>
    <row r="25" spans="1:16">
      <c r="A25" s="121"/>
      <c r="B25" s="122"/>
      <c r="C25" s="123"/>
      <c r="D25" s="123"/>
      <c r="E25" s="132"/>
      <c r="F25" s="119"/>
      <c r="G25" s="120"/>
      <c r="H25" s="104"/>
    </row>
    <row r="26" spans="1:16">
      <c r="A26" s="915"/>
      <c r="B26" s="916"/>
      <c r="C26" s="916"/>
      <c r="D26" s="916"/>
      <c r="E26" s="916"/>
      <c r="F26" s="916"/>
      <c r="G26" s="917"/>
      <c r="H26" s="104"/>
    </row>
    <row r="27" spans="1:16" ht="38.25">
      <c r="A27" s="115" t="s">
        <v>26</v>
      </c>
      <c r="B27" s="116" t="s">
        <v>139</v>
      </c>
      <c r="C27" s="117" t="s">
        <v>14</v>
      </c>
      <c r="D27" s="117" t="s">
        <v>0</v>
      </c>
      <c r="E27" s="118"/>
      <c r="F27" s="119"/>
      <c r="G27" s="120"/>
      <c r="H27" s="104"/>
    </row>
    <row r="28" spans="1:16">
      <c r="A28" s="121" t="s">
        <v>89</v>
      </c>
      <c r="B28" s="122" t="s">
        <v>90</v>
      </c>
      <c r="C28" s="123" t="s">
        <v>30</v>
      </c>
      <c r="D28" s="123" t="s">
        <v>12</v>
      </c>
      <c r="E28" s="123">
        <v>0.71779999999999999</v>
      </c>
      <c r="F28" s="119"/>
      <c r="G28" s="120"/>
      <c r="H28" s="104"/>
    </row>
    <row r="29" spans="1:16" ht="25.5">
      <c r="A29" s="124" t="s">
        <v>91</v>
      </c>
      <c r="B29" s="125" t="s">
        <v>92</v>
      </c>
      <c r="C29" s="123" t="s">
        <v>30</v>
      </c>
      <c r="D29" s="123" t="s">
        <v>10</v>
      </c>
      <c r="E29" s="123">
        <v>9</v>
      </c>
      <c r="F29" s="126"/>
      <c r="G29" s="120"/>
      <c r="H29" s="104"/>
    </row>
    <row r="30" spans="1:16" ht="38.25">
      <c r="A30" s="124" t="s">
        <v>94</v>
      </c>
      <c r="B30" s="125" t="s">
        <v>95</v>
      </c>
      <c r="C30" s="123" t="s">
        <v>30</v>
      </c>
      <c r="D30" s="123" t="s">
        <v>9</v>
      </c>
      <c r="E30" s="123">
        <v>1.38</v>
      </c>
      <c r="F30" s="126"/>
      <c r="G30" s="120"/>
      <c r="H30" s="104"/>
    </row>
    <row r="31" spans="1:16">
      <c r="A31" s="127" t="s">
        <v>85</v>
      </c>
      <c r="B31" s="128" t="s">
        <v>86</v>
      </c>
      <c r="C31" s="123" t="s">
        <v>30</v>
      </c>
      <c r="D31" s="129" t="s">
        <v>12</v>
      </c>
      <c r="E31" s="129">
        <v>4.9139999999999996E-2</v>
      </c>
      <c r="F31" s="130"/>
      <c r="G31" s="120"/>
      <c r="H31" s="104"/>
      <c r="L31">
        <v>1.0049999999999999</v>
      </c>
      <c r="M31">
        <v>0.52280000000000004</v>
      </c>
      <c r="O31">
        <v>1.5</v>
      </c>
      <c r="P31">
        <v>3.5099999999999999E-2</v>
      </c>
    </row>
    <row r="32" spans="1:16" ht="25.5">
      <c r="A32" s="127" t="s">
        <v>97</v>
      </c>
      <c r="B32" s="128" t="s">
        <v>98</v>
      </c>
      <c r="C32" s="123" t="s">
        <v>30</v>
      </c>
      <c r="D32" s="129" t="s">
        <v>10</v>
      </c>
      <c r="E32" s="129">
        <v>3</v>
      </c>
      <c r="F32" s="130"/>
      <c r="G32" s="120"/>
      <c r="H32" s="104"/>
      <c r="L32">
        <f>2.1*0.6+0.12</f>
        <v>1.38</v>
      </c>
      <c r="M32">
        <f>M31*L32/L31</f>
        <v>0.71787462686567172</v>
      </c>
      <c r="O32">
        <v>2.1</v>
      </c>
      <c r="P32">
        <f>P31*O32/O31</f>
        <v>4.9139999999999996E-2</v>
      </c>
    </row>
    <row r="33" spans="1:8">
      <c r="A33" s="127" t="s">
        <v>80</v>
      </c>
      <c r="B33" s="128" t="s">
        <v>81</v>
      </c>
      <c r="C33" s="123" t="s">
        <v>16</v>
      </c>
      <c r="D33" s="129" t="s">
        <v>15</v>
      </c>
      <c r="E33" s="129" t="s">
        <v>99</v>
      </c>
      <c r="F33" s="130"/>
      <c r="G33" s="120"/>
      <c r="H33" s="104"/>
    </row>
    <row r="34" spans="1:8">
      <c r="A34" s="127" t="s">
        <v>27</v>
      </c>
      <c r="B34" s="128" t="s">
        <v>17</v>
      </c>
      <c r="C34" s="123" t="s">
        <v>16</v>
      </c>
      <c r="D34" s="129" t="s">
        <v>15</v>
      </c>
      <c r="E34" s="129" t="s">
        <v>96</v>
      </c>
      <c r="F34" s="130"/>
      <c r="G34" s="120"/>
      <c r="H34" s="104"/>
    </row>
    <row r="35" spans="1:8">
      <c r="A35" s="127"/>
      <c r="B35" s="128"/>
      <c r="C35" s="129"/>
      <c r="D35" s="129"/>
      <c r="E35" s="129"/>
      <c r="F35" s="130"/>
      <c r="G35" s="131"/>
      <c r="H35" s="104"/>
    </row>
    <row r="36" spans="1:8">
      <c r="A36" s="127"/>
      <c r="B36" s="128"/>
      <c r="C36" s="129"/>
      <c r="D36" s="129"/>
      <c r="E36" s="129"/>
      <c r="F36" s="130"/>
      <c r="G36" s="131"/>
      <c r="H36" s="104"/>
    </row>
    <row r="37" spans="1:8">
      <c r="A37" s="121"/>
      <c r="B37" s="122"/>
      <c r="C37" s="123"/>
      <c r="D37" s="123"/>
      <c r="E37" s="132"/>
      <c r="F37" s="119"/>
      <c r="G37" s="120"/>
      <c r="H37" s="104"/>
    </row>
    <row r="39" spans="1:8" ht="51">
      <c r="A39" s="115" t="s">
        <v>107</v>
      </c>
      <c r="B39" s="116" t="s">
        <v>108</v>
      </c>
      <c r="C39" s="117" t="s">
        <v>14</v>
      </c>
      <c r="D39" s="117" t="s">
        <v>0</v>
      </c>
      <c r="E39" s="118"/>
      <c r="F39" s="119"/>
      <c r="G39" s="120"/>
    </row>
    <row r="40" spans="1:8">
      <c r="A40" s="133">
        <v>88309</v>
      </c>
      <c r="B40" s="122" t="s">
        <v>18</v>
      </c>
      <c r="C40" s="123" t="s">
        <v>16</v>
      </c>
      <c r="D40" s="123" t="s">
        <v>15</v>
      </c>
      <c r="E40" s="123" t="s">
        <v>102</v>
      </c>
      <c r="F40" s="130">
        <v>17.68</v>
      </c>
      <c r="G40" s="131"/>
    </row>
    <row r="41" spans="1:8">
      <c r="A41" s="133">
        <v>88316</v>
      </c>
      <c r="B41" s="122" t="s">
        <v>17</v>
      </c>
      <c r="C41" s="123" t="s">
        <v>16</v>
      </c>
      <c r="D41" s="123" t="s">
        <v>15</v>
      </c>
      <c r="E41" s="123" t="s">
        <v>103</v>
      </c>
      <c r="F41" s="130">
        <v>14.4</v>
      </c>
      <c r="G41" s="131"/>
    </row>
    <row r="42" spans="1:8" ht="25.5">
      <c r="A42" s="127">
        <v>94971</v>
      </c>
      <c r="B42" s="128" t="s">
        <v>110</v>
      </c>
      <c r="C42" s="123" t="s">
        <v>30</v>
      </c>
      <c r="D42" s="123" t="s">
        <v>8</v>
      </c>
      <c r="E42" s="129" t="s">
        <v>104</v>
      </c>
      <c r="F42" s="130">
        <v>395.59</v>
      </c>
      <c r="G42" s="131"/>
    </row>
    <row r="43" spans="1:8">
      <c r="A43" s="127"/>
      <c r="B43" s="128"/>
      <c r="C43" s="123"/>
      <c r="D43" s="123"/>
      <c r="E43" s="129"/>
      <c r="F43" s="130"/>
      <c r="G43" s="131"/>
    </row>
    <row r="44" spans="1:8">
      <c r="A44" s="133"/>
      <c r="B44" s="122"/>
      <c r="C44" s="123"/>
      <c r="D44" s="123"/>
      <c r="E44" s="123"/>
      <c r="F44" s="119"/>
      <c r="G44" s="120"/>
    </row>
    <row r="45" spans="1:8">
      <c r="A45" s="127"/>
      <c r="B45" s="128"/>
      <c r="C45" s="123"/>
      <c r="D45" s="129"/>
      <c r="E45" s="129"/>
      <c r="F45" s="130"/>
      <c r="G45" s="120"/>
    </row>
    <row r="46" spans="1:8">
      <c r="A46" s="133"/>
      <c r="B46" s="122"/>
      <c r="C46" s="123"/>
      <c r="D46" s="123"/>
      <c r="E46" s="132"/>
      <c r="F46" s="119"/>
      <c r="G46" s="120"/>
    </row>
    <row r="47" spans="1:8">
      <c r="A47" s="915"/>
      <c r="B47" s="916"/>
      <c r="C47" s="916"/>
      <c r="D47" s="916"/>
      <c r="E47" s="916"/>
      <c r="F47" s="916"/>
      <c r="G47" s="917"/>
    </row>
    <row r="49" spans="1:8" ht="25.5">
      <c r="A49" s="338" t="s">
        <v>26</v>
      </c>
      <c r="B49" s="339" t="s">
        <v>494</v>
      </c>
      <c r="C49" s="340" t="s">
        <v>14</v>
      </c>
      <c r="D49" s="340" t="s">
        <v>0</v>
      </c>
      <c r="E49" s="341"/>
      <c r="F49" s="342"/>
      <c r="G49" s="343"/>
      <c r="H49" t="s">
        <v>493</v>
      </c>
    </row>
    <row r="50" spans="1:8" ht="38.25">
      <c r="A50" s="344" t="s">
        <v>495</v>
      </c>
      <c r="B50" s="345" t="s">
        <v>496</v>
      </c>
      <c r="C50" s="346" t="s">
        <v>30</v>
      </c>
      <c r="D50" s="346" t="s">
        <v>533</v>
      </c>
      <c r="E50" s="346" t="s">
        <v>534</v>
      </c>
      <c r="F50" s="347" t="s">
        <v>535</v>
      </c>
      <c r="G50" s="348"/>
    </row>
    <row r="51" spans="1:8" ht="63.75">
      <c r="A51" s="319" t="s">
        <v>346</v>
      </c>
      <c r="B51" s="320" t="s">
        <v>497</v>
      </c>
      <c r="C51" s="346" t="s">
        <v>30</v>
      </c>
      <c r="D51" s="346" t="s">
        <v>9</v>
      </c>
      <c r="E51" s="346" t="s">
        <v>536</v>
      </c>
      <c r="F51" s="337" t="s">
        <v>346</v>
      </c>
      <c r="G51" s="348"/>
    </row>
    <row r="52" spans="1:8">
      <c r="A52" s="349" t="s">
        <v>27</v>
      </c>
      <c r="B52" s="350" t="s">
        <v>17</v>
      </c>
      <c r="C52" s="346" t="s">
        <v>537</v>
      </c>
      <c r="D52" s="346" t="s">
        <v>15</v>
      </c>
      <c r="E52" s="351" t="s">
        <v>538</v>
      </c>
      <c r="F52" s="347" t="s">
        <v>539</v>
      </c>
      <c r="G52" s="348"/>
    </row>
    <row r="53" spans="1:8">
      <c r="A53" s="349" t="s">
        <v>498</v>
      </c>
      <c r="B53" s="350" t="s">
        <v>499</v>
      </c>
      <c r="C53" s="346" t="s">
        <v>537</v>
      </c>
      <c r="D53" s="346" t="s">
        <v>15</v>
      </c>
      <c r="E53" s="351" t="s">
        <v>540</v>
      </c>
      <c r="F53" s="347" t="s">
        <v>541</v>
      </c>
      <c r="G53" s="348"/>
    </row>
    <row r="54" spans="1:8" ht="25.5">
      <c r="A54" s="344" t="s">
        <v>500</v>
      </c>
      <c r="B54" s="345" t="s">
        <v>501</v>
      </c>
      <c r="C54" s="346" t="s">
        <v>537</v>
      </c>
      <c r="D54" s="346" t="s">
        <v>28</v>
      </c>
      <c r="E54" s="346" t="s">
        <v>542</v>
      </c>
      <c r="F54" s="342" t="s">
        <v>543</v>
      </c>
      <c r="G54" s="343"/>
    </row>
    <row r="55" spans="1:8" ht="25.5">
      <c r="A55" s="349" t="s">
        <v>502</v>
      </c>
      <c r="B55" s="350" t="s">
        <v>503</v>
      </c>
      <c r="C55" s="346" t="s">
        <v>537</v>
      </c>
      <c r="D55" s="351" t="s">
        <v>29</v>
      </c>
      <c r="E55" s="351" t="s">
        <v>544</v>
      </c>
      <c r="F55" s="347" t="s">
        <v>545</v>
      </c>
      <c r="G55" s="343"/>
    </row>
    <row r="56" spans="1:8">
      <c r="A56" s="344"/>
      <c r="B56" s="345"/>
      <c r="C56" s="346"/>
      <c r="D56" s="346"/>
      <c r="E56" s="352"/>
      <c r="F56" s="342"/>
      <c r="G56" s="343"/>
    </row>
    <row r="57" spans="1:8">
      <c r="A57" s="918"/>
      <c r="B57" s="919"/>
      <c r="C57" s="919"/>
      <c r="D57" s="919"/>
      <c r="E57" s="919"/>
      <c r="F57" s="919"/>
      <c r="G57" s="920"/>
    </row>
    <row r="59" spans="1:8" ht="63.75">
      <c r="A59" s="369" t="s">
        <v>550</v>
      </c>
      <c r="B59" s="370" t="s">
        <v>549</v>
      </c>
      <c r="C59" s="371" t="s">
        <v>14</v>
      </c>
      <c r="D59" s="371" t="s">
        <v>8</v>
      </c>
      <c r="E59" s="372"/>
      <c r="F59" s="373"/>
      <c r="G59" s="374"/>
    </row>
    <row r="60" spans="1:8" ht="25.5">
      <c r="A60" s="375">
        <v>6079</v>
      </c>
      <c r="B60" s="376" t="s">
        <v>551</v>
      </c>
      <c r="C60" s="377" t="s">
        <v>30</v>
      </c>
      <c r="D60" s="377" t="s">
        <v>8</v>
      </c>
      <c r="E60" s="377">
        <v>1.3</v>
      </c>
      <c r="F60" s="378"/>
      <c r="G60" s="379"/>
    </row>
    <row r="61" spans="1:8">
      <c r="A61" s="375"/>
      <c r="B61" s="376"/>
      <c r="C61" s="377"/>
      <c r="D61" s="377"/>
      <c r="E61" s="377"/>
      <c r="F61" s="378"/>
      <c r="G61" s="379"/>
    </row>
    <row r="63" spans="1:8">
      <c r="A63">
        <v>20262</v>
      </c>
      <c r="B63" t="s">
        <v>83</v>
      </c>
    </row>
    <row r="64" spans="1:8">
      <c r="A64">
        <v>11761</v>
      </c>
      <c r="B64" t="s">
        <v>88</v>
      </c>
    </row>
    <row r="65" spans="1:2">
      <c r="A65">
        <v>377</v>
      </c>
      <c r="B65" t="s">
        <v>13</v>
      </c>
    </row>
  </sheetData>
  <mergeCells count="4">
    <mergeCell ref="A47:G47"/>
    <mergeCell ref="A26:G26"/>
    <mergeCell ref="A13:G13"/>
    <mergeCell ref="A57:G5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95"/>
  <sheetViews>
    <sheetView showGridLines="0" view="pageBreakPreview" zoomScaleNormal="55" zoomScaleSheetLayoutView="100" workbookViewId="0">
      <pane xSplit="6" ySplit="10" topLeftCell="G11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6.5"/>
  <cols>
    <col min="1" max="1" width="2.85546875" style="232" customWidth="1"/>
    <col min="2" max="2" width="69.85546875" style="178" hidden="1" customWidth="1"/>
    <col min="3" max="3" width="9.28515625" style="232" bestFit="1" customWidth="1"/>
    <col min="4" max="4" width="55.140625" style="232" customWidth="1"/>
    <col min="5" max="5" width="11.85546875" style="232" bestFit="1" customWidth="1"/>
    <col min="6" max="6" width="10.140625" style="232" customWidth="1"/>
    <col min="7" max="7" width="11" style="231" customWidth="1"/>
    <col min="8" max="8" width="8" style="231" bestFit="1" customWidth="1"/>
    <col min="9" max="9" width="10.5703125" style="232" bestFit="1" customWidth="1"/>
    <col min="10" max="10" width="8" style="232" bestFit="1" customWidth="1"/>
    <col min="11" max="11" width="10.5703125" style="232" bestFit="1" customWidth="1"/>
    <col min="12" max="12" width="8" style="232" bestFit="1" customWidth="1"/>
    <col min="13" max="13" width="10.5703125" style="232" bestFit="1" customWidth="1"/>
    <col min="14" max="14" width="8" style="232" bestFit="1" customWidth="1"/>
    <col min="15" max="15" width="10.5703125" style="232" bestFit="1" customWidth="1"/>
    <col min="16" max="16" width="8.85546875" style="232" bestFit="1" customWidth="1"/>
    <col min="17" max="17" width="11.85546875" style="232" bestFit="1" customWidth="1"/>
    <col min="18" max="18" width="8.85546875" style="232" bestFit="1" customWidth="1"/>
    <col min="19" max="19" width="6.140625" style="232" hidden="1" customWidth="1"/>
    <col min="20" max="20" width="7.85546875" style="232" hidden="1" customWidth="1"/>
    <col min="21" max="21" width="11.85546875" style="232" hidden="1" customWidth="1"/>
    <col min="22" max="22" width="12.28515625" style="232" hidden="1" customWidth="1"/>
    <col min="23" max="16384" width="9.140625" style="232"/>
  </cols>
  <sheetData>
    <row r="1" spans="1:22" s="173" customFormat="1">
      <c r="A1" s="136"/>
      <c r="B1" s="171"/>
      <c r="C1" s="172"/>
      <c r="E1" s="136"/>
      <c r="H1" s="174"/>
      <c r="Q1" s="138" t="s">
        <v>144</v>
      </c>
      <c r="R1" s="139" t="s">
        <v>145</v>
      </c>
    </row>
    <row r="2" spans="1:22" s="173" customFormat="1">
      <c r="A2" s="136"/>
      <c r="B2" s="171"/>
      <c r="C2" s="172" t="s">
        <v>143</v>
      </c>
      <c r="E2" s="136"/>
      <c r="H2" s="174"/>
      <c r="Q2" s="138" t="s">
        <v>147</v>
      </c>
      <c r="R2" s="139" t="s">
        <v>148</v>
      </c>
    </row>
    <row r="3" spans="1:22" s="173" customFormat="1">
      <c r="A3" s="136"/>
      <c r="B3" s="171"/>
      <c r="C3" s="172" t="s">
        <v>146</v>
      </c>
      <c r="D3" s="137"/>
      <c r="E3" s="136"/>
      <c r="H3" s="174"/>
      <c r="Q3" s="138" t="s">
        <v>149</v>
      </c>
      <c r="R3" s="141">
        <v>0.84809999999999997</v>
      </c>
    </row>
    <row r="4" spans="1:22" s="173" customFormat="1">
      <c r="A4" s="136"/>
      <c r="B4" s="171"/>
      <c r="C4" s="136"/>
      <c r="D4" s="136"/>
      <c r="E4" s="136"/>
      <c r="H4" s="174"/>
      <c r="Q4" s="138" t="s">
        <v>150</v>
      </c>
      <c r="R4" s="141">
        <v>0.48070000000000002</v>
      </c>
    </row>
    <row r="5" spans="1:22" s="173" customFormat="1">
      <c r="A5" s="136"/>
      <c r="B5" s="171"/>
      <c r="C5" s="136"/>
      <c r="D5" s="136"/>
      <c r="E5" s="136"/>
      <c r="H5" s="174"/>
      <c r="Q5" s="138" t="s">
        <v>151</v>
      </c>
      <c r="R5" s="141">
        <v>0.28349999999999997</v>
      </c>
    </row>
    <row r="6" spans="1:22" s="173" customFormat="1">
      <c r="A6" s="143"/>
      <c r="B6" s="171"/>
      <c r="C6" s="175" t="s">
        <v>233</v>
      </c>
      <c r="D6" s="176"/>
      <c r="E6" s="143"/>
      <c r="H6" s="174"/>
    </row>
    <row r="8" spans="1:22" s="177" customFormat="1" ht="12.75">
      <c r="B8" s="178"/>
      <c r="C8" s="179"/>
      <c r="D8" s="180"/>
      <c r="E8" s="181"/>
      <c r="F8" s="181"/>
      <c r="G8" s="182" t="s">
        <v>234</v>
      </c>
      <c r="H8" s="183">
        <v>15</v>
      </c>
      <c r="I8" s="182" t="s">
        <v>234</v>
      </c>
      <c r="J8" s="183">
        <f>H8+15</f>
        <v>30</v>
      </c>
      <c r="K8" s="182" t="s">
        <v>234</v>
      </c>
      <c r="L8" s="183">
        <f>J8+15</f>
        <v>45</v>
      </c>
      <c r="M8" s="182" t="s">
        <v>234</v>
      </c>
      <c r="N8" s="183">
        <f>L8+15</f>
        <v>60</v>
      </c>
      <c r="O8" s="182" t="s">
        <v>234</v>
      </c>
      <c r="P8" s="183">
        <f>N8+15</f>
        <v>75</v>
      </c>
      <c r="Q8" s="182" t="s">
        <v>234</v>
      </c>
      <c r="R8" s="183">
        <f>P8+15</f>
        <v>90</v>
      </c>
    </row>
    <row r="9" spans="1:22" s="177" customFormat="1" ht="12.75">
      <c r="B9" s="178"/>
      <c r="C9" s="184" t="s">
        <v>153</v>
      </c>
      <c r="D9" s="185" t="s">
        <v>235</v>
      </c>
      <c r="E9" s="186" t="s">
        <v>236</v>
      </c>
      <c r="F9" s="186" t="s">
        <v>237</v>
      </c>
      <c r="G9" s="182" t="s">
        <v>238</v>
      </c>
      <c r="H9" s="183" t="s">
        <v>239</v>
      </c>
      <c r="I9" s="182" t="s">
        <v>238</v>
      </c>
      <c r="J9" s="183" t="s">
        <v>239</v>
      </c>
      <c r="K9" s="182" t="s">
        <v>238</v>
      </c>
      <c r="L9" s="183" t="s">
        <v>239</v>
      </c>
      <c r="M9" s="182" t="s">
        <v>238</v>
      </c>
      <c r="N9" s="183" t="s">
        <v>239</v>
      </c>
      <c r="O9" s="182" t="s">
        <v>238</v>
      </c>
      <c r="P9" s="183" t="s">
        <v>239</v>
      </c>
      <c r="Q9" s="182" t="s">
        <v>238</v>
      </c>
      <c r="R9" s="183" t="s">
        <v>239</v>
      </c>
    </row>
    <row r="10" spans="1:22" s="177" customFormat="1" ht="12.75">
      <c r="B10" s="178"/>
      <c r="C10" s="187"/>
      <c r="D10" s="188"/>
      <c r="E10" s="189" t="s">
        <v>240</v>
      </c>
      <c r="F10" s="189" t="s">
        <v>240</v>
      </c>
      <c r="G10" s="190" t="s">
        <v>241</v>
      </c>
      <c r="H10" s="191" t="s">
        <v>237</v>
      </c>
      <c r="I10" s="190" t="s">
        <v>241</v>
      </c>
      <c r="J10" s="191" t="s">
        <v>237</v>
      </c>
      <c r="K10" s="190" t="s">
        <v>241</v>
      </c>
      <c r="L10" s="191" t="s">
        <v>237</v>
      </c>
      <c r="M10" s="190" t="s">
        <v>241</v>
      </c>
      <c r="N10" s="191" t="s">
        <v>237</v>
      </c>
      <c r="O10" s="190" t="s">
        <v>241</v>
      </c>
      <c r="P10" s="191" t="s">
        <v>237</v>
      </c>
      <c r="Q10" s="190" t="s">
        <v>241</v>
      </c>
      <c r="R10" s="191" t="s">
        <v>237</v>
      </c>
    </row>
    <row r="11" spans="1:22" s="192" customFormat="1" ht="7.5" customHeight="1">
      <c r="B11" s="178"/>
      <c r="C11" s="193"/>
      <c r="D11" s="194"/>
      <c r="E11" s="195"/>
      <c r="F11" s="196"/>
      <c r="G11" s="195"/>
      <c r="H11" s="196"/>
      <c r="I11" s="195"/>
      <c r="J11" s="196"/>
      <c r="K11" s="195"/>
      <c r="L11" s="196"/>
      <c r="M11" s="195"/>
      <c r="N11" s="196"/>
      <c r="O11" s="195"/>
      <c r="P11" s="196"/>
      <c r="Q11" s="195"/>
      <c r="R11" s="196"/>
    </row>
    <row r="12" spans="1:22" s="192" customFormat="1" ht="12.75">
      <c r="B12" s="178" t="s">
        <v>157</v>
      </c>
      <c r="C12" s="193" t="s">
        <v>242</v>
      </c>
      <c r="D12" s="194" t="s">
        <v>157</v>
      </c>
      <c r="E12" s="195" t="e">
        <f>IF(B12="","",SUMIF('[1]001.Orçamento Global'!$D$10:$D$24,'004. Cronograma Físico-Financ.'!B12,'[1]001.Orçamento Global'!$E$10:$E$24))</f>
        <v>#VALUE!</v>
      </c>
      <c r="F12" s="196" t="e">
        <f>E12/$E$47</f>
        <v>#VALUE!</v>
      </c>
      <c r="G12" s="195" t="e">
        <f>IF(H12&lt;&gt;"",$E12*H12,"")</f>
        <v>#VALUE!</v>
      </c>
      <c r="H12" s="196">
        <f>1/6</f>
        <v>0.16666666666666666</v>
      </c>
      <c r="I12" s="195" t="e">
        <f>IF(J12&lt;&gt;"",$E12*J12,"")</f>
        <v>#VALUE!</v>
      </c>
      <c r="J12" s="196">
        <f>1/6</f>
        <v>0.16666666666666666</v>
      </c>
      <c r="K12" s="195" t="e">
        <f>IF(L12&lt;&gt;"",$E12*L12,"")</f>
        <v>#VALUE!</v>
      </c>
      <c r="L12" s="196">
        <f>1/6</f>
        <v>0.16666666666666666</v>
      </c>
      <c r="M12" s="195" t="e">
        <f>IF(N12&lt;&gt;"",$E12*N12,"")</f>
        <v>#VALUE!</v>
      </c>
      <c r="N12" s="196">
        <f>1/6</f>
        <v>0.16666666666666666</v>
      </c>
      <c r="O12" s="195" t="e">
        <f>IF(P12&lt;&gt;"",$E12*P12,"")</f>
        <v>#VALUE!</v>
      </c>
      <c r="P12" s="196">
        <f>1/6</f>
        <v>0.16666666666666666</v>
      </c>
      <c r="Q12" s="195" t="e">
        <f>IF(R12&lt;&gt;"",$E12*R12,"")</f>
        <v>#VALUE!</v>
      </c>
      <c r="R12" s="196">
        <f>1/6</f>
        <v>0.16666666666666666</v>
      </c>
      <c r="S12" s="197"/>
      <c r="T12" s="197" t="e">
        <f>SUM(H12,J12,L12,N12,P12,R12,#REF!,#REF!,#REF!,#REF!)</f>
        <v>#REF!</v>
      </c>
      <c r="U12" s="198" t="e">
        <f>SUM(G12,I12,K12,M12,O12,Q12,#REF!,#REF!,#REF!,#REF!)</f>
        <v>#REF!</v>
      </c>
      <c r="V12" s="192" t="e">
        <f>E12=U12</f>
        <v>#VALUE!</v>
      </c>
    </row>
    <row r="13" spans="1:22" s="192" customFormat="1" ht="7.5" customHeight="1">
      <c r="B13" s="178"/>
      <c r="C13" s="193"/>
      <c r="D13" s="194"/>
      <c r="E13" s="195" t="str">
        <f>IF(B13="","",SUMIF('[1]001.Orçamento Global'!$D$10:$D$24,'004. Cronograma Físico-Financ.'!B13,'[1]001.Orçamento Global'!$E$10:$E$24))</f>
        <v/>
      </c>
      <c r="F13" s="196"/>
      <c r="G13" s="195" t="e">
        <f>IF(G12&lt;&gt;"",1,"")</f>
        <v>#VALUE!</v>
      </c>
      <c r="H13" s="195">
        <f>IF(H12&lt;&gt;"",1,"")</f>
        <v>1</v>
      </c>
      <c r="I13" s="195" t="e">
        <f t="shared" ref="I13:R13" si="0">IF(I12&lt;&gt;"",1,"")</f>
        <v>#VALUE!</v>
      </c>
      <c r="J13" s="196">
        <f t="shared" si="0"/>
        <v>1</v>
      </c>
      <c r="K13" s="195" t="e">
        <f t="shared" si="0"/>
        <v>#VALUE!</v>
      </c>
      <c r="L13" s="196">
        <f t="shared" si="0"/>
        <v>1</v>
      </c>
      <c r="M13" s="195" t="e">
        <f t="shared" si="0"/>
        <v>#VALUE!</v>
      </c>
      <c r="N13" s="196">
        <f t="shared" si="0"/>
        <v>1</v>
      </c>
      <c r="O13" s="195" t="e">
        <f t="shared" si="0"/>
        <v>#VALUE!</v>
      </c>
      <c r="P13" s="196">
        <f t="shared" si="0"/>
        <v>1</v>
      </c>
      <c r="Q13" s="195" t="e">
        <f t="shared" si="0"/>
        <v>#VALUE!</v>
      </c>
      <c r="R13" s="196">
        <f t="shared" si="0"/>
        <v>1</v>
      </c>
      <c r="S13" s="197"/>
      <c r="T13" s="197"/>
    </row>
    <row r="14" spans="1:22" s="199" customFormat="1" ht="7.5" customHeight="1">
      <c r="B14" s="200"/>
      <c r="C14" s="201"/>
      <c r="D14" s="202"/>
      <c r="E14" s="203" t="str">
        <f>IF(B14="","",SUMIF('[1]001.Orçamento Global'!$D$10:$D$24,'004. Cronograma Físico-Financ.'!B14,'[1]001.Orçamento Global'!$E$10:$E$24))</f>
        <v/>
      </c>
      <c r="F14" s="204"/>
      <c r="G14" s="203"/>
      <c r="H14" s="204"/>
      <c r="I14" s="203"/>
      <c r="J14" s="204"/>
      <c r="K14" s="203"/>
      <c r="L14" s="204"/>
      <c r="M14" s="203"/>
      <c r="N14" s="204"/>
      <c r="O14" s="203"/>
      <c r="P14" s="204"/>
      <c r="Q14" s="203"/>
      <c r="R14" s="204"/>
    </row>
    <row r="15" spans="1:22" s="199" customFormat="1" ht="12.75">
      <c r="B15" s="205" t="s">
        <v>162</v>
      </c>
      <c r="C15" s="201" t="s">
        <v>243</v>
      </c>
      <c r="D15" s="202" t="s">
        <v>162</v>
      </c>
      <c r="E15" s="203" t="e">
        <f>IF(B15="","",SUMIF('[1]001.Orçamento Global'!$D$10:$D$24,'004. Cronograma Físico-Financ.'!B15,'[1]001.Orçamento Global'!$E$10:$E$24))</f>
        <v>#VALUE!</v>
      </c>
      <c r="F15" s="204" t="e">
        <f>E15/$E$47</f>
        <v>#VALUE!</v>
      </c>
      <c r="G15" s="203" t="e">
        <f>IF(H15&lt;&gt;"",$E15*H15,"")</f>
        <v>#VALUE!</v>
      </c>
      <c r="H15" s="204">
        <v>0.85</v>
      </c>
      <c r="I15" s="203" t="e">
        <f>IF(J15&lt;&gt;"",$E15*J15,"")</f>
        <v>#VALUE!</v>
      </c>
      <c r="J15" s="204">
        <v>0.15</v>
      </c>
      <c r="K15" s="203" t="str">
        <f>IF(L15&lt;&gt;"",$E15*L15,"")</f>
        <v/>
      </c>
      <c r="L15" s="204"/>
      <c r="M15" s="203" t="str">
        <f>IF(N15&lt;&gt;"",$E15*N15,"")</f>
        <v/>
      </c>
      <c r="N15" s="204"/>
      <c r="O15" s="203" t="str">
        <f>IF(P15&lt;&gt;"",$E15*P15,"")</f>
        <v/>
      </c>
      <c r="P15" s="204"/>
      <c r="Q15" s="203" t="str">
        <f>IF(R15&lt;&gt;"",$E15*R15,"")</f>
        <v/>
      </c>
      <c r="R15" s="204"/>
      <c r="S15" s="206"/>
      <c r="T15" s="206" t="e">
        <f>SUM(H15,J15,L15,N15,P15,R15,#REF!,#REF!,#REF!,#REF!)</f>
        <v>#REF!</v>
      </c>
      <c r="U15" s="207" t="e">
        <f>SUM(G15,I15,K15,M15,O15,Q15,#REF!,#REF!,#REF!,#REF!)</f>
        <v>#REF!</v>
      </c>
      <c r="V15" s="199" t="e">
        <f>E15=U15</f>
        <v>#VALUE!</v>
      </c>
    </row>
    <row r="16" spans="1:22" s="199" customFormat="1" ht="7.5" customHeight="1">
      <c r="B16" s="200"/>
      <c r="C16" s="201"/>
      <c r="D16" s="202"/>
      <c r="E16" s="203" t="str">
        <f>IF(B16="","",SUMIF('[1]001.Orçamento Global'!$D$10:$D$24,'004. Cronograma Físico-Financ.'!B16,'[1]001.Orçamento Global'!$E$10:$E$24))</f>
        <v/>
      </c>
      <c r="F16" s="204"/>
      <c r="G16" s="203" t="e">
        <f t="shared" ref="G16:R16" si="1">IF(G15&lt;&gt;"",1,"")</f>
        <v>#VALUE!</v>
      </c>
      <c r="H16" s="203">
        <f t="shared" si="1"/>
        <v>1</v>
      </c>
      <c r="I16" s="203" t="e">
        <f t="shared" si="1"/>
        <v>#VALUE!</v>
      </c>
      <c r="J16" s="204">
        <f t="shared" si="1"/>
        <v>1</v>
      </c>
      <c r="K16" s="203" t="str">
        <f t="shared" si="1"/>
        <v/>
      </c>
      <c r="L16" s="204" t="str">
        <f t="shared" si="1"/>
        <v/>
      </c>
      <c r="M16" s="203" t="str">
        <f t="shared" si="1"/>
        <v/>
      </c>
      <c r="N16" s="204" t="str">
        <f t="shared" si="1"/>
        <v/>
      </c>
      <c r="O16" s="203" t="str">
        <f t="shared" si="1"/>
        <v/>
      </c>
      <c r="P16" s="204" t="str">
        <f t="shared" si="1"/>
        <v/>
      </c>
      <c r="Q16" s="203" t="str">
        <f t="shared" si="1"/>
        <v/>
      </c>
      <c r="R16" s="204" t="str">
        <f t="shared" si="1"/>
        <v/>
      </c>
      <c r="S16" s="206"/>
      <c r="T16" s="206"/>
    </row>
    <row r="17" spans="2:22" s="192" customFormat="1" ht="7.5" customHeight="1">
      <c r="B17" s="178"/>
      <c r="C17" s="193"/>
      <c r="D17" s="194"/>
      <c r="E17" s="195" t="str">
        <f>IF(B17="","",SUMIF('[1]001.Orçamento Global'!$D$10:$D$24,'004. Cronograma Físico-Financ.'!B17,'[1]001.Orçamento Global'!$E$10:$E$24))</f>
        <v/>
      </c>
      <c r="F17" s="196"/>
      <c r="G17" s="195"/>
      <c r="H17" s="196"/>
      <c r="I17" s="195"/>
      <c r="J17" s="196"/>
      <c r="K17" s="195"/>
      <c r="L17" s="196"/>
      <c r="M17" s="195"/>
      <c r="N17" s="196"/>
      <c r="O17" s="195"/>
      <c r="P17" s="196"/>
      <c r="Q17" s="195"/>
      <c r="R17" s="196"/>
    </row>
    <row r="18" spans="2:22" s="192" customFormat="1" ht="12.75">
      <c r="B18" s="208" t="s">
        <v>178</v>
      </c>
      <c r="C18" s="193" t="s">
        <v>244</v>
      </c>
      <c r="D18" s="194" t="s">
        <v>178</v>
      </c>
      <c r="E18" s="195" t="e">
        <f>IF(B18="","",SUMIF('[1]001.Orçamento Global'!$D$10:$D$24,'004. Cronograma Físico-Financ.'!B18,'[1]001.Orçamento Global'!$E$10:$E$24))</f>
        <v>#VALUE!</v>
      </c>
      <c r="F18" s="196" t="e">
        <f>E18/$E$47</f>
        <v>#VALUE!</v>
      </c>
      <c r="G18" s="195" t="e">
        <f>IF(H18&lt;&gt;"",$E18*H18,"")</f>
        <v>#VALUE!</v>
      </c>
      <c r="H18" s="196">
        <v>0.6</v>
      </c>
      <c r="I18" s="195" t="e">
        <f>IF(J18&lt;&gt;"",$E18*J18,"")</f>
        <v>#VALUE!</v>
      </c>
      <c r="J18" s="196">
        <v>0.22</v>
      </c>
      <c r="K18" s="195" t="str">
        <f>IF(L18&lt;&gt;"",$E18*L18,"")</f>
        <v/>
      </c>
      <c r="L18" s="196"/>
      <c r="M18" s="195" t="str">
        <f>IF(N18&lt;&gt;"",$E18*N18,"")</f>
        <v/>
      </c>
      <c r="N18" s="196"/>
      <c r="O18" s="195" t="str">
        <f>IF(P18&lt;&gt;"",$E18*P18,"")</f>
        <v/>
      </c>
      <c r="P18" s="196"/>
      <c r="Q18" s="195" t="e">
        <f>IF(R18&lt;&gt;"",$E18*R18,"")</f>
        <v>#VALUE!</v>
      </c>
      <c r="R18" s="196">
        <v>0.18</v>
      </c>
      <c r="S18" s="197"/>
      <c r="T18" s="197" t="e">
        <f>SUM(H18,J18,L18,N18,P18,R18,#REF!,#REF!,#REF!,#REF!)</f>
        <v>#REF!</v>
      </c>
      <c r="U18" s="198" t="e">
        <f>SUM(G18,I18,K18,M18,O18,Q18,#REF!,#REF!,#REF!,#REF!)</f>
        <v>#REF!</v>
      </c>
      <c r="V18" s="192" t="e">
        <f>E18=U18</f>
        <v>#VALUE!</v>
      </c>
    </row>
    <row r="19" spans="2:22" s="192" customFormat="1" ht="7.5" customHeight="1">
      <c r="B19" s="178"/>
      <c r="C19" s="193"/>
      <c r="D19" s="194"/>
      <c r="E19" s="195" t="str">
        <f>IF(B19="","",SUMIF('[1]001.Orçamento Global'!$D$10:$D$24,'004. Cronograma Físico-Financ.'!B19,'[1]001.Orçamento Global'!$E$10:$E$24))</f>
        <v/>
      </c>
      <c r="F19" s="196"/>
      <c r="G19" s="195" t="e">
        <f t="shared" ref="G19:R19" si="2">IF(G18&lt;&gt;"",1,"")</f>
        <v>#VALUE!</v>
      </c>
      <c r="H19" s="195">
        <f t="shared" si="2"/>
        <v>1</v>
      </c>
      <c r="I19" s="195" t="e">
        <f t="shared" si="2"/>
        <v>#VALUE!</v>
      </c>
      <c r="J19" s="196">
        <f t="shared" si="2"/>
        <v>1</v>
      </c>
      <c r="K19" s="195" t="str">
        <f t="shared" si="2"/>
        <v/>
      </c>
      <c r="L19" s="196" t="str">
        <f t="shared" si="2"/>
        <v/>
      </c>
      <c r="M19" s="195" t="str">
        <f t="shared" si="2"/>
        <v/>
      </c>
      <c r="N19" s="196" t="str">
        <f t="shared" si="2"/>
        <v/>
      </c>
      <c r="O19" s="195" t="str">
        <f t="shared" si="2"/>
        <v/>
      </c>
      <c r="P19" s="196" t="str">
        <f t="shared" si="2"/>
        <v/>
      </c>
      <c r="Q19" s="195" t="e">
        <f t="shared" si="2"/>
        <v>#VALUE!</v>
      </c>
      <c r="R19" s="196">
        <f t="shared" si="2"/>
        <v>1</v>
      </c>
      <c r="S19" s="197"/>
      <c r="T19" s="197"/>
    </row>
    <row r="20" spans="2:22" s="214" customFormat="1" ht="7.5" customHeight="1">
      <c r="B20" s="209"/>
      <c r="C20" s="210"/>
      <c r="D20" s="211"/>
      <c r="E20" s="212" t="str">
        <f>IF(B20="","",SUMIF('[1]001.Orçamento Global'!$D$10:$D$24,'004. Cronograma Físico-Financ.'!B20,'[1]001.Orçamento Global'!$E$10:$E$24))</f>
        <v/>
      </c>
      <c r="F20" s="213"/>
      <c r="G20" s="212"/>
      <c r="H20" s="213"/>
      <c r="I20" s="212"/>
      <c r="J20" s="213"/>
      <c r="K20" s="212"/>
      <c r="L20" s="213"/>
      <c r="M20" s="212"/>
      <c r="N20" s="213"/>
      <c r="O20" s="212"/>
      <c r="P20" s="213"/>
      <c r="Q20" s="212"/>
      <c r="R20" s="213"/>
    </row>
    <row r="21" spans="2:22" s="214" customFormat="1" ht="12.75">
      <c r="B21" s="215" t="s">
        <v>35</v>
      </c>
      <c r="C21" s="210" t="s">
        <v>245</v>
      </c>
      <c r="D21" s="211" t="s">
        <v>35</v>
      </c>
      <c r="E21" s="212" t="e">
        <f>IF(B21="","",SUMIF('[1]001.Orçamento Global'!$D$10:$D$24,'004. Cronograma Físico-Financ.'!B21,'[1]001.Orçamento Global'!$E$10:$E$24))</f>
        <v>#VALUE!</v>
      </c>
      <c r="F21" s="213" t="e">
        <f>E21/$E$47</f>
        <v>#VALUE!</v>
      </c>
      <c r="G21" s="212" t="e">
        <f>IF(H21&lt;&gt;"",$E21*H21,"")</f>
        <v>#VALUE!</v>
      </c>
      <c r="H21" s="213">
        <v>0.3</v>
      </c>
      <c r="I21" s="212" t="e">
        <f>IF(J21&lt;&gt;"",$E21*J21,"")</f>
        <v>#VALUE!</v>
      </c>
      <c r="J21" s="213">
        <v>0.4</v>
      </c>
      <c r="K21" s="212" t="e">
        <f>IF(L21&lt;&gt;"",$E21*L21,"")</f>
        <v>#VALUE!</v>
      </c>
      <c r="L21" s="213">
        <v>0.3</v>
      </c>
      <c r="M21" s="212" t="str">
        <f>IF(N21&lt;&gt;"",$E21*N21,"")</f>
        <v/>
      </c>
      <c r="N21" s="213"/>
      <c r="O21" s="212" t="str">
        <f>IF(P21&lt;&gt;"",$E21*P21,"")</f>
        <v/>
      </c>
      <c r="P21" s="213"/>
      <c r="Q21" s="212" t="str">
        <f>IF(R21&lt;&gt;"",$E21*R21,"")</f>
        <v/>
      </c>
      <c r="R21" s="213"/>
      <c r="S21" s="216"/>
      <c r="T21" s="216" t="e">
        <f>SUM(H21,J21,L21,N21,P21,R21,#REF!,#REF!,#REF!,#REF!)</f>
        <v>#REF!</v>
      </c>
      <c r="U21" s="217" t="e">
        <f>SUM(G21,I21,K21,M21,O21,Q21,#REF!,#REF!,#REF!,#REF!)</f>
        <v>#REF!</v>
      </c>
      <c r="V21" s="214" t="e">
        <f>E21=U21</f>
        <v>#VALUE!</v>
      </c>
    </row>
    <row r="22" spans="2:22" s="214" customFormat="1" ht="7.5" customHeight="1">
      <c r="B22" s="209"/>
      <c r="C22" s="210"/>
      <c r="D22" s="211"/>
      <c r="E22" s="212" t="str">
        <f>IF(B22="","",SUMIF('[1]001.Orçamento Global'!$D$10:$D$24,'004. Cronograma Físico-Financ.'!B22,'[1]001.Orçamento Global'!$E$10:$E$24))</f>
        <v/>
      </c>
      <c r="F22" s="213"/>
      <c r="G22" s="212" t="e">
        <f t="shared" ref="G22:R22" si="3">IF(G21&lt;&gt;"",1,"")</f>
        <v>#VALUE!</v>
      </c>
      <c r="H22" s="212">
        <f t="shared" si="3"/>
        <v>1</v>
      </c>
      <c r="I22" s="212" t="e">
        <f t="shared" si="3"/>
        <v>#VALUE!</v>
      </c>
      <c r="J22" s="213">
        <f t="shared" si="3"/>
        <v>1</v>
      </c>
      <c r="K22" s="212" t="e">
        <f t="shared" si="3"/>
        <v>#VALUE!</v>
      </c>
      <c r="L22" s="213">
        <f t="shared" si="3"/>
        <v>1</v>
      </c>
      <c r="M22" s="212" t="str">
        <f t="shared" si="3"/>
        <v/>
      </c>
      <c r="N22" s="213" t="str">
        <f t="shared" si="3"/>
        <v/>
      </c>
      <c r="O22" s="212" t="str">
        <f t="shared" si="3"/>
        <v/>
      </c>
      <c r="P22" s="213" t="str">
        <f t="shared" si="3"/>
        <v/>
      </c>
      <c r="Q22" s="212" t="str">
        <f t="shared" si="3"/>
        <v/>
      </c>
      <c r="R22" s="213" t="str">
        <f t="shared" si="3"/>
        <v/>
      </c>
      <c r="S22" s="216"/>
      <c r="T22" s="216"/>
    </row>
    <row r="23" spans="2:22" s="219" customFormat="1" ht="7.5" customHeight="1">
      <c r="B23" s="218"/>
      <c r="C23" s="193"/>
      <c r="D23" s="194"/>
      <c r="E23" s="195" t="str">
        <f>IF(B23="","",SUMIF('[1]001.Orçamento Global'!$D$10:$D$24,'004. Cronograma Físico-Financ.'!B23,'[1]001.Orçamento Global'!$E$10:$E$24))</f>
        <v/>
      </c>
      <c r="F23" s="196"/>
      <c r="G23" s="195"/>
      <c r="H23" s="196"/>
      <c r="I23" s="195"/>
      <c r="J23" s="196"/>
      <c r="K23" s="195"/>
      <c r="L23" s="196"/>
      <c r="M23" s="195"/>
      <c r="N23" s="196"/>
      <c r="O23" s="195"/>
      <c r="P23" s="196"/>
      <c r="Q23" s="195"/>
      <c r="R23" s="196"/>
    </row>
    <row r="24" spans="2:22" s="219" customFormat="1" ht="12.75">
      <c r="B24" s="220" t="s">
        <v>11</v>
      </c>
      <c r="C24" s="193" t="s">
        <v>246</v>
      </c>
      <c r="D24" s="194" t="s">
        <v>11</v>
      </c>
      <c r="E24" s="195" t="e">
        <f>IF(B24="","",SUMIF('[1]001.Orçamento Global'!$D$10:$D$24,'004. Cronograma Físico-Financ.'!B24,'[1]001.Orçamento Global'!$E$10:$E$24))</f>
        <v>#VALUE!</v>
      </c>
      <c r="F24" s="196" t="e">
        <f>E24/$E$47</f>
        <v>#VALUE!</v>
      </c>
      <c r="G24" s="195" t="str">
        <f>IF(H24&lt;&gt;"",$E24*H24,"")</f>
        <v/>
      </c>
      <c r="H24" s="196"/>
      <c r="I24" s="195" t="e">
        <f>IF(J24&lt;&gt;"",$E24*J24,"")</f>
        <v>#VALUE!</v>
      </c>
      <c r="J24" s="196">
        <v>0.25</v>
      </c>
      <c r="K24" s="195" t="e">
        <f>IF(L24&lt;&gt;"",$E24*L24,"")</f>
        <v>#VALUE!</v>
      </c>
      <c r="L24" s="196">
        <v>0.4</v>
      </c>
      <c r="M24" s="195" t="e">
        <f>IF(N24&lt;&gt;"",$E24*N24,"")</f>
        <v>#VALUE!</v>
      </c>
      <c r="N24" s="196">
        <v>0.35</v>
      </c>
      <c r="O24" s="195" t="str">
        <f>IF(P24&lt;&gt;"",$E24*P24,"")</f>
        <v/>
      </c>
      <c r="P24" s="196"/>
      <c r="Q24" s="195" t="str">
        <f>IF(R24&lt;&gt;"",$E24*R24,"")</f>
        <v/>
      </c>
      <c r="R24" s="196"/>
      <c r="S24" s="221"/>
      <c r="T24" s="221" t="e">
        <f>SUM(H24,J24,L24,N24,P24,R24,#REF!,#REF!,#REF!,#REF!)</f>
        <v>#REF!</v>
      </c>
      <c r="U24" s="222" t="e">
        <f>SUM(G24,I24,K24,M24,O24,Q24,#REF!,#REF!,#REF!,#REF!)</f>
        <v>#REF!</v>
      </c>
      <c r="V24" s="219" t="e">
        <f>E24=U24</f>
        <v>#VALUE!</v>
      </c>
    </row>
    <row r="25" spans="2:22" s="219" customFormat="1" ht="7.5" customHeight="1">
      <c r="B25" s="218"/>
      <c r="C25" s="193"/>
      <c r="D25" s="194"/>
      <c r="E25" s="195" t="str">
        <f>IF(B25="","",SUMIF('[1]001.Orçamento Global'!$D$10:$D$24,'004. Cronograma Físico-Financ.'!B25,'[1]001.Orçamento Global'!$E$10:$E$24))</f>
        <v/>
      </c>
      <c r="F25" s="196"/>
      <c r="G25" s="195" t="str">
        <f t="shared" ref="G25:R25" si="4">IF(G24&lt;&gt;"",1,"")</f>
        <v/>
      </c>
      <c r="H25" s="195" t="str">
        <f t="shared" si="4"/>
        <v/>
      </c>
      <c r="I25" s="195" t="e">
        <f t="shared" si="4"/>
        <v>#VALUE!</v>
      </c>
      <c r="J25" s="196">
        <f t="shared" si="4"/>
        <v>1</v>
      </c>
      <c r="K25" s="195" t="e">
        <f t="shared" si="4"/>
        <v>#VALUE!</v>
      </c>
      <c r="L25" s="196">
        <f t="shared" si="4"/>
        <v>1</v>
      </c>
      <c r="M25" s="195" t="e">
        <f t="shared" si="4"/>
        <v>#VALUE!</v>
      </c>
      <c r="N25" s="196">
        <f t="shared" si="4"/>
        <v>1</v>
      </c>
      <c r="O25" s="195" t="str">
        <f t="shared" si="4"/>
        <v/>
      </c>
      <c r="P25" s="196" t="str">
        <f t="shared" si="4"/>
        <v/>
      </c>
      <c r="Q25" s="195" t="str">
        <f t="shared" si="4"/>
        <v/>
      </c>
      <c r="R25" s="196" t="str">
        <f t="shared" si="4"/>
        <v/>
      </c>
      <c r="S25" s="221"/>
      <c r="T25" s="221"/>
    </row>
    <row r="26" spans="2:22" s="214" customFormat="1" ht="7.5" customHeight="1">
      <c r="B26" s="209"/>
      <c r="C26" s="210"/>
      <c r="D26" s="211"/>
      <c r="E26" s="212" t="str">
        <f>IF(B26="","",SUMIF('[1]001.Orçamento Global'!$D$10:$D$24,'004. Cronograma Físico-Financ.'!B26,'[1]001.Orçamento Global'!$E$10:$E$24))</f>
        <v/>
      </c>
      <c r="F26" s="213"/>
      <c r="G26" s="212"/>
      <c r="H26" s="213"/>
      <c r="I26" s="212"/>
      <c r="J26" s="213"/>
      <c r="K26" s="212"/>
      <c r="L26" s="213"/>
      <c r="M26" s="212"/>
      <c r="N26" s="213"/>
      <c r="O26" s="212"/>
      <c r="P26" s="213"/>
      <c r="Q26" s="212"/>
      <c r="R26" s="213"/>
    </row>
    <row r="27" spans="2:22" s="214" customFormat="1" ht="12.75">
      <c r="B27" s="215" t="s">
        <v>198</v>
      </c>
      <c r="C27" s="210" t="s">
        <v>247</v>
      </c>
      <c r="D27" s="211" t="s">
        <v>198</v>
      </c>
      <c r="E27" s="212" t="e">
        <f>IF(B27="","",SUMIF('[1]001.Orçamento Global'!$D$10:$D$24,'004. Cronograma Físico-Financ.'!B27,'[1]001.Orçamento Global'!$E$10:$E$24))</f>
        <v>#VALUE!</v>
      </c>
      <c r="F27" s="213" t="e">
        <f>E27/$E$47</f>
        <v>#VALUE!</v>
      </c>
      <c r="G27" s="212" t="str">
        <f>IF(H27&lt;&gt;"",$E27*H27,"")</f>
        <v/>
      </c>
      <c r="H27" s="213"/>
      <c r="I27" s="212" t="e">
        <f>IF(J27&lt;&gt;"",$E27*J27,"")</f>
        <v>#VALUE!</v>
      </c>
      <c r="J27" s="213">
        <v>0.2</v>
      </c>
      <c r="K27" s="212" t="e">
        <f>IF(L27&lt;&gt;"",$E27*L27,"")</f>
        <v>#VALUE!</v>
      </c>
      <c r="L27" s="213">
        <v>0.35</v>
      </c>
      <c r="M27" s="212" t="e">
        <f>IF(N27&lt;&gt;"",$E27*N27,"")</f>
        <v>#VALUE!</v>
      </c>
      <c r="N27" s="213">
        <v>0.3</v>
      </c>
      <c r="O27" s="212" t="e">
        <f>IF(P27&lt;&gt;"",$E27*P27,"")</f>
        <v>#VALUE!</v>
      </c>
      <c r="P27" s="213">
        <v>0.15</v>
      </c>
      <c r="Q27" s="212" t="str">
        <f>IF(R27&lt;&gt;"",$E27*R27,"")</f>
        <v/>
      </c>
      <c r="R27" s="213"/>
      <c r="S27" s="216"/>
      <c r="T27" s="216" t="e">
        <f>SUM(H27,J27,L27,N27,P27,R27,#REF!,#REF!,#REF!,#REF!)</f>
        <v>#REF!</v>
      </c>
      <c r="U27" s="217" t="e">
        <f>SUM(G27,I27,K27,M27,O27,Q27,#REF!,#REF!,#REF!,#REF!)</f>
        <v>#REF!</v>
      </c>
      <c r="V27" s="214" t="e">
        <f>E27=U27</f>
        <v>#VALUE!</v>
      </c>
    </row>
    <row r="28" spans="2:22" s="214" customFormat="1" ht="7.5" customHeight="1">
      <c r="B28" s="209"/>
      <c r="C28" s="210"/>
      <c r="D28" s="211"/>
      <c r="E28" s="212" t="str">
        <f>IF(B28="","",SUMIF('[1]001.Orçamento Global'!$D$10:$D$24,'004. Cronograma Físico-Financ.'!B28,'[1]001.Orçamento Global'!$E$10:$E$24))</f>
        <v/>
      </c>
      <c r="F28" s="213"/>
      <c r="G28" s="212" t="str">
        <f t="shared" ref="G28:R28" si="5">IF(G27&lt;&gt;"",1,"")</f>
        <v/>
      </c>
      <c r="H28" s="212" t="str">
        <f t="shared" si="5"/>
        <v/>
      </c>
      <c r="I28" s="212" t="e">
        <f t="shared" si="5"/>
        <v>#VALUE!</v>
      </c>
      <c r="J28" s="213">
        <f t="shared" si="5"/>
        <v>1</v>
      </c>
      <c r="K28" s="212" t="e">
        <f t="shared" si="5"/>
        <v>#VALUE!</v>
      </c>
      <c r="L28" s="213">
        <f t="shared" si="5"/>
        <v>1</v>
      </c>
      <c r="M28" s="212" t="e">
        <f t="shared" si="5"/>
        <v>#VALUE!</v>
      </c>
      <c r="N28" s="213">
        <f t="shared" si="5"/>
        <v>1</v>
      </c>
      <c r="O28" s="212" t="e">
        <f t="shared" si="5"/>
        <v>#VALUE!</v>
      </c>
      <c r="P28" s="213">
        <f t="shared" si="5"/>
        <v>1</v>
      </c>
      <c r="Q28" s="212" t="str">
        <f t="shared" si="5"/>
        <v/>
      </c>
      <c r="R28" s="213" t="str">
        <f t="shared" si="5"/>
        <v/>
      </c>
      <c r="S28" s="216"/>
      <c r="T28" s="216"/>
    </row>
    <row r="29" spans="2:22" s="192" customFormat="1" ht="7.5" customHeight="1">
      <c r="B29" s="178"/>
      <c r="C29" s="193"/>
      <c r="D29" s="194"/>
      <c r="E29" s="195" t="str">
        <f>IF(B29="","",SUMIF('[1]001.Orçamento Global'!$D$10:$D$24,'004. Cronograma Físico-Financ.'!B29,'[1]001.Orçamento Global'!$E$10:$E$24))</f>
        <v/>
      </c>
      <c r="F29" s="196"/>
      <c r="G29" s="195"/>
      <c r="H29" s="196"/>
      <c r="I29" s="195"/>
      <c r="J29" s="196"/>
      <c r="K29" s="195"/>
      <c r="L29" s="196"/>
      <c r="M29" s="195"/>
      <c r="N29" s="196"/>
      <c r="O29" s="195"/>
      <c r="P29" s="196"/>
      <c r="Q29" s="195"/>
      <c r="R29" s="196"/>
    </row>
    <row r="30" spans="2:22" s="192" customFormat="1" ht="12.75">
      <c r="B30" s="208" t="s">
        <v>210</v>
      </c>
      <c r="C30" s="193" t="s">
        <v>248</v>
      </c>
      <c r="D30" s="194" t="s">
        <v>210</v>
      </c>
      <c r="E30" s="195" t="e">
        <f>IF(B30="","",SUMIF('[1]001.Orçamento Global'!$D$10:$D$24,'004. Cronograma Físico-Financ.'!B30,'[1]001.Orçamento Global'!$E$10:$E$24))</f>
        <v>#VALUE!</v>
      </c>
      <c r="F30" s="196" t="e">
        <f>E30/$E$47</f>
        <v>#VALUE!</v>
      </c>
      <c r="G30" s="195" t="str">
        <f>IF(H30&lt;&gt;"",$E30*H30,"")</f>
        <v/>
      </c>
      <c r="H30" s="196"/>
      <c r="I30" s="195" t="str">
        <f>IF(J30&lt;&gt;"",$E30*J30,"")</f>
        <v/>
      </c>
      <c r="J30" s="196"/>
      <c r="K30" s="195" t="e">
        <f>IF(L30&lt;&gt;"",$E30*L30,"")</f>
        <v>#VALUE!</v>
      </c>
      <c r="L30" s="196">
        <v>0.4</v>
      </c>
      <c r="M30" s="195" t="e">
        <f>IF(N30&lt;&gt;"",$E30*N30,"")</f>
        <v>#VALUE!</v>
      </c>
      <c r="N30" s="196">
        <v>0.3</v>
      </c>
      <c r="O30" s="195" t="e">
        <f>IF(P30&lt;&gt;"",$E30*P30,"")</f>
        <v>#VALUE!</v>
      </c>
      <c r="P30" s="196">
        <v>0.3</v>
      </c>
      <c r="Q30" s="195" t="str">
        <f>IF(R30&lt;&gt;"",$E30*R30,"")</f>
        <v/>
      </c>
      <c r="R30" s="196"/>
      <c r="S30" s="197"/>
      <c r="T30" s="197" t="e">
        <f>SUM(H30,J30,L30,N30,P30,R30,#REF!,#REF!,#REF!,#REF!)</f>
        <v>#REF!</v>
      </c>
      <c r="U30" s="198" t="e">
        <f>SUM(G30,I30,K30,M30,O30,Q30,#REF!,#REF!,#REF!,#REF!)</f>
        <v>#REF!</v>
      </c>
      <c r="V30" s="192" t="e">
        <f>E30=U30</f>
        <v>#VALUE!</v>
      </c>
    </row>
    <row r="31" spans="2:22" s="192" customFormat="1" ht="7.5" customHeight="1">
      <c r="B31" s="178"/>
      <c r="C31" s="193"/>
      <c r="D31" s="194"/>
      <c r="E31" s="195" t="str">
        <f>IF(B31="","",SUMIF('[1]001.Orçamento Global'!$D$10:$D$24,'004. Cronograma Físico-Financ.'!B31,'[1]001.Orçamento Global'!$E$10:$E$24))</f>
        <v/>
      </c>
      <c r="F31" s="196"/>
      <c r="G31" s="195" t="str">
        <f t="shared" ref="G31:R31" si="6">IF(G30&lt;&gt;"",1,"")</f>
        <v/>
      </c>
      <c r="H31" s="195" t="str">
        <f t="shared" si="6"/>
        <v/>
      </c>
      <c r="I31" s="195" t="str">
        <f t="shared" si="6"/>
        <v/>
      </c>
      <c r="J31" s="196" t="str">
        <f t="shared" si="6"/>
        <v/>
      </c>
      <c r="K31" s="195" t="e">
        <f t="shared" si="6"/>
        <v>#VALUE!</v>
      </c>
      <c r="L31" s="196">
        <f t="shared" si="6"/>
        <v>1</v>
      </c>
      <c r="M31" s="195" t="e">
        <f t="shared" si="6"/>
        <v>#VALUE!</v>
      </c>
      <c r="N31" s="196">
        <f t="shared" si="6"/>
        <v>1</v>
      </c>
      <c r="O31" s="195" t="e">
        <f t="shared" si="6"/>
        <v>#VALUE!</v>
      </c>
      <c r="P31" s="196">
        <f t="shared" si="6"/>
        <v>1</v>
      </c>
      <c r="Q31" s="195" t="str">
        <f t="shared" si="6"/>
        <v/>
      </c>
      <c r="R31" s="196" t="str">
        <f t="shared" si="6"/>
        <v/>
      </c>
      <c r="S31" s="197"/>
      <c r="T31" s="197"/>
    </row>
    <row r="32" spans="2:22" s="199" customFormat="1" ht="7.5" customHeight="1">
      <c r="B32" s="200"/>
      <c r="C32" s="201"/>
      <c r="D32" s="202"/>
      <c r="E32" s="203" t="str">
        <f>IF(B32="","",SUMIF('[1]001.Orçamento Global'!$D$10:$D$24,'004. Cronograma Físico-Financ.'!B32,'[1]001.Orçamento Global'!$E$10:$E$24))</f>
        <v/>
      </c>
      <c r="F32" s="204"/>
      <c r="G32" s="203"/>
      <c r="H32" s="204"/>
      <c r="I32" s="203"/>
      <c r="J32" s="204"/>
      <c r="K32" s="203"/>
      <c r="L32" s="204"/>
      <c r="M32" s="203"/>
      <c r="N32" s="204"/>
      <c r="O32" s="203"/>
      <c r="P32" s="204"/>
      <c r="Q32" s="203"/>
      <c r="R32" s="204"/>
    </row>
    <row r="33" spans="2:22" s="199" customFormat="1" ht="12.75">
      <c r="B33" s="205" t="s">
        <v>124</v>
      </c>
      <c r="C33" s="201" t="s">
        <v>249</v>
      </c>
      <c r="D33" s="202" t="s">
        <v>124</v>
      </c>
      <c r="E33" s="203" t="e">
        <f>IF(B33="","",SUMIF('[1]001.Orçamento Global'!$D$10:$D$24,'004. Cronograma Físico-Financ.'!B33,'[1]001.Orçamento Global'!$E$10:$E$24))</f>
        <v>#VALUE!</v>
      </c>
      <c r="F33" s="204" t="e">
        <f>E33/$E$47</f>
        <v>#VALUE!</v>
      </c>
      <c r="G33" s="203" t="str">
        <f>IF(H33&lt;&gt;"",$E33*H33,"")</f>
        <v/>
      </c>
      <c r="H33" s="204"/>
      <c r="I33" s="203" t="e">
        <f>IF(J33&lt;&gt;"",$E33*J33,"")</f>
        <v>#VALUE!</v>
      </c>
      <c r="J33" s="204">
        <v>0.2</v>
      </c>
      <c r="K33" s="203" t="e">
        <f>IF(L33&lt;&gt;"",$E33*L33,"")</f>
        <v>#VALUE!</v>
      </c>
      <c r="L33" s="204">
        <v>0.4</v>
      </c>
      <c r="M33" s="203" t="e">
        <f>IF(N33&lt;&gt;"",$E33*N33,"")</f>
        <v>#VALUE!</v>
      </c>
      <c r="N33" s="204">
        <v>0.4</v>
      </c>
      <c r="O33" s="203" t="str">
        <f>IF(P33&lt;&gt;"",$E33*P33,"")</f>
        <v/>
      </c>
      <c r="P33" s="204"/>
      <c r="Q33" s="203" t="str">
        <f>IF(R33&lt;&gt;"",$E33*R33,"")</f>
        <v/>
      </c>
      <c r="R33" s="204"/>
      <c r="S33" s="206"/>
      <c r="T33" s="206" t="e">
        <f>SUM(H33,J33,L33,N33,P33,R33,#REF!,#REF!,#REF!,#REF!)</f>
        <v>#REF!</v>
      </c>
      <c r="U33" s="207" t="e">
        <f>SUM(G33,I33,K33,M33,O33,Q33,#REF!,#REF!,#REF!,#REF!)</f>
        <v>#REF!</v>
      </c>
      <c r="V33" s="199" t="e">
        <f>E33=U33</f>
        <v>#VALUE!</v>
      </c>
    </row>
    <row r="34" spans="2:22" s="199" customFormat="1" ht="7.5" customHeight="1">
      <c r="B34" s="200"/>
      <c r="C34" s="201"/>
      <c r="D34" s="202"/>
      <c r="E34" s="203" t="str">
        <f>IF(B34="","",SUMIF('[1]001.Orçamento Global'!$D$10:$D$24,'004. Cronograma Físico-Financ.'!B34,'[1]001.Orçamento Global'!$E$10:$E$24))</f>
        <v/>
      </c>
      <c r="F34" s="204"/>
      <c r="G34" s="203" t="str">
        <f t="shared" ref="G34:R34" si="7">IF(G33&lt;&gt;"",1,"")</f>
        <v/>
      </c>
      <c r="H34" s="203" t="str">
        <f t="shared" si="7"/>
        <v/>
      </c>
      <c r="I34" s="203" t="e">
        <f t="shared" si="7"/>
        <v>#VALUE!</v>
      </c>
      <c r="J34" s="204">
        <f t="shared" si="7"/>
        <v>1</v>
      </c>
      <c r="K34" s="203" t="e">
        <f t="shared" si="7"/>
        <v>#VALUE!</v>
      </c>
      <c r="L34" s="204">
        <f t="shared" si="7"/>
        <v>1</v>
      </c>
      <c r="M34" s="203" t="e">
        <f t="shared" si="7"/>
        <v>#VALUE!</v>
      </c>
      <c r="N34" s="204">
        <f t="shared" si="7"/>
        <v>1</v>
      </c>
      <c r="O34" s="203" t="str">
        <f t="shared" si="7"/>
        <v/>
      </c>
      <c r="P34" s="204" t="str">
        <f t="shared" si="7"/>
        <v/>
      </c>
      <c r="Q34" s="203" t="str">
        <f t="shared" si="7"/>
        <v/>
      </c>
      <c r="R34" s="204" t="str">
        <f t="shared" si="7"/>
        <v/>
      </c>
      <c r="S34" s="206"/>
      <c r="T34" s="206"/>
    </row>
    <row r="35" spans="2:22" s="192" customFormat="1" ht="7.5" customHeight="1">
      <c r="B35" s="178"/>
      <c r="C35" s="193"/>
      <c r="D35" s="194"/>
      <c r="E35" s="195" t="str">
        <f>IF(B35="","",SUMIF('[1]001.Orçamento Global'!$D$10:$D$24,'004. Cronograma Físico-Financ.'!B35,'[1]001.Orçamento Global'!$E$10:$E$24))</f>
        <v/>
      </c>
      <c r="F35" s="196"/>
      <c r="G35" s="195"/>
      <c r="H35" s="196"/>
      <c r="I35" s="195"/>
      <c r="J35" s="196"/>
      <c r="K35" s="195"/>
      <c r="L35" s="196"/>
      <c r="M35" s="195"/>
      <c r="N35" s="196"/>
      <c r="O35" s="195"/>
      <c r="P35" s="196"/>
      <c r="Q35" s="195"/>
      <c r="R35" s="196"/>
    </row>
    <row r="36" spans="2:22" s="192" customFormat="1" ht="12.75">
      <c r="B36" s="208" t="s">
        <v>216</v>
      </c>
      <c r="C36" s="193" t="s">
        <v>250</v>
      </c>
      <c r="D36" s="194" t="s">
        <v>216</v>
      </c>
      <c r="E36" s="195" t="e">
        <f>IF(B36="","",SUMIF('[1]001.Orçamento Global'!$D$10:$D$24,'004. Cronograma Físico-Financ.'!B36,'[1]001.Orçamento Global'!$E$10:$E$24))</f>
        <v>#VALUE!</v>
      </c>
      <c r="F36" s="196" t="e">
        <f>E36/$E$47</f>
        <v>#VALUE!</v>
      </c>
      <c r="G36" s="195" t="str">
        <f>IF(H36&lt;&gt;"",$E36*H36,"")</f>
        <v/>
      </c>
      <c r="H36" s="196"/>
      <c r="I36" s="195" t="str">
        <f>IF(J36&lt;&gt;"",$E36*J36,"")</f>
        <v/>
      </c>
      <c r="J36" s="196"/>
      <c r="K36" s="195" t="e">
        <f>IF(L36&lt;&gt;"",$E36*L36,"")</f>
        <v>#VALUE!</v>
      </c>
      <c r="L36" s="196">
        <v>0.2</v>
      </c>
      <c r="M36" s="195" t="e">
        <f>IF(N36&lt;&gt;"",$E36*N36,"")</f>
        <v>#VALUE!</v>
      </c>
      <c r="N36" s="196">
        <v>0.4</v>
      </c>
      <c r="O36" s="195" t="e">
        <f>IF(P36&lt;&gt;"",$E36*P36,"")</f>
        <v>#VALUE!</v>
      </c>
      <c r="P36" s="196">
        <v>0.4</v>
      </c>
      <c r="Q36" s="195" t="str">
        <f>IF(R36&lt;&gt;"",$E36*R36,"")</f>
        <v/>
      </c>
      <c r="R36" s="196"/>
      <c r="S36" s="197"/>
      <c r="T36" s="197" t="e">
        <f>SUM(H36,J36,L36,N36,P36,R36,#REF!,#REF!,#REF!,#REF!)</f>
        <v>#REF!</v>
      </c>
      <c r="U36" s="198" t="e">
        <f>SUM(G36,I36,K36,M36,O36,Q36,#REF!,#REF!,#REF!,#REF!)</f>
        <v>#REF!</v>
      </c>
      <c r="V36" s="192" t="e">
        <f>E36=U36</f>
        <v>#VALUE!</v>
      </c>
    </row>
    <row r="37" spans="2:22" s="192" customFormat="1" ht="7.5" customHeight="1">
      <c r="B37" s="178"/>
      <c r="C37" s="193"/>
      <c r="D37" s="194"/>
      <c r="E37" s="195" t="str">
        <f>IF(B37="","",SUMIF('[1]001.Orçamento Global'!$D$10:$D$24,'004. Cronograma Físico-Financ.'!B37,'[1]001.Orçamento Global'!$E$10:$E$24))</f>
        <v/>
      </c>
      <c r="F37" s="196"/>
      <c r="G37" s="195" t="str">
        <f t="shared" ref="G37:R37" si="8">IF(G36&lt;&gt;"",1,"")</f>
        <v/>
      </c>
      <c r="H37" s="195" t="str">
        <f t="shared" si="8"/>
        <v/>
      </c>
      <c r="I37" s="195" t="str">
        <f t="shared" si="8"/>
        <v/>
      </c>
      <c r="J37" s="196" t="str">
        <f t="shared" si="8"/>
        <v/>
      </c>
      <c r="K37" s="195" t="e">
        <f t="shared" si="8"/>
        <v>#VALUE!</v>
      </c>
      <c r="L37" s="196">
        <f t="shared" si="8"/>
        <v>1</v>
      </c>
      <c r="M37" s="195" t="e">
        <f t="shared" si="8"/>
        <v>#VALUE!</v>
      </c>
      <c r="N37" s="196">
        <f t="shared" si="8"/>
        <v>1</v>
      </c>
      <c r="O37" s="195" t="e">
        <f t="shared" si="8"/>
        <v>#VALUE!</v>
      </c>
      <c r="P37" s="196">
        <f t="shared" si="8"/>
        <v>1</v>
      </c>
      <c r="Q37" s="195" t="str">
        <f t="shared" si="8"/>
        <v/>
      </c>
      <c r="R37" s="196" t="str">
        <f t="shared" si="8"/>
        <v/>
      </c>
      <c r="S37" s="197"/>
      <c r="T37" s="197"/>
    </row>
    <row r="38" spans="2:22" s="199" customFormat="1" ht="7.5" customHeight="1">
      <c r="B38" s="200"/>
      <c r="C38" s="201"/>
      <c r="D38" s="202"/>
      <c r="E38" s="203" t="str">
        <f>IF(B38="","",SUMIF('[1]001.Orçamento Global'!$D$10:$D$24,'004. Cronograma Físico-Financ.'!B38,'[1]001.Orçamento Global'!$E$10:$E$24))</f>
        <v/>
      </c>
      <c r="F38" s="204"/>
      <c r="G38" s="203"/>
      <c r="H38" s="204"/>
      <c r="I38" s="203"/>
      <c r="J38" s="204"/>
      <c r="K38" s="203"/>
      <c r="L38" s="204"/>
      <c r="M38" s="203"/>
      <c r="N38" s="204"/>
      <c r="O38" s="203"/>
      <c r="P38" s="204"/>
      <c r="Q38" s="203"/>
      <c r="R38" s="204"/>
    </row>
    <row r="39" spans="2:22" s="199" customFormat="1" ht="12.75">
      <c r="B39" s="205" t="s">
        <v>221</v>
      </c>
      <c r="C39" s="201" t="s">
        <v>220</v>
      </c>
      <c r="D39" s="202" t="s">
        <v>221</v>
      </c>
      <c r="E39" s="203" t="e">
        <f>IF(B39="","",SUMIF('[1]001.Orçamento Global'!$D$10:$D$24,'004. Cronograma Físico-Financ.'!B39,'[1]001.Orçamento Global'!$E$10:$E$24))</f>
        <v>#VALUE!</v>
      </c>
      <c r="F39" s="204" t="e">
        <f>E39/$E$47</f>
        <v>#VALUE!</v>
      </c>
      <c r="G39" s="203" t="str">
        <f>IF(H39&lt;&gt;"",$E39*H39,"")</f>
        <v/>
      </c>
      <c r="H39" s="204"/>
      <c r="I39" s="203" t="str">
        <f>IF(J39&lt;&gt;"",$E39*J39,"")</f>
        <v/>
      </c>
      <c r="J39" s="204"/>
      <c r="K39" s="203" t="str">
        <f>IF(L39&lt;&gt;"",$E39*L39,"")</f>
        <v/>
      </c>
      <c r="L39" s="204"/>
      <c r="M39" s="203" t="e">
        <f>IF(N39&lt;&gt;"",$E39*N39,"")</f>
        <v>#VALUE!</v>
      </c>
      <c r="N39" s="204">
        <v>0.25</v>
      </c>
      <c r="O39" s="203" t="e">
        <f>IF(P39&lt;&gt;"",$E39*P39,"")</f>
        <v>#VALUE!</v>
      </c>
      <c r="P39" s="204">
        <v>0.3</v>
      </c>
      <c r="Q39" s="203" t="e">
        <f>IF(R39&lt;&gt;"",$E39*R39,"")</f>
        <v>#VALUE!</v>
      </c>
      <c r="R39" s="204">
        <v>0.45</v>
      </c>
      <c r="S39" s="206"/>
      <c r="T39" s="206" t="e">
        <f>SUM(H39,J39,L39,N39,P39,R39,#REF!,#REF!,#REF!,#REF!)</f>
        <v>#REF!</v>
      </c>
      <c r="U39" s="207" t="e">
        <f>SUM(G39,I39,K39,M39,O39,Q39,#REF!,#REF!,#REF!,#REF!)</f>
        <v>#REF!</v>
      </c>
      <c r="V39" s="199" t="e">
        <f>E39=U39</f>
        <v>#VALUE!</v>
      </c>
    </row>
    <row r="40" spans="2:22" s="199" customFormat="1" ht="7.5" customHeight="1">
      <c r="B40" s="200"/>
      <c r="C40" s="201"/>
      <c r="D40" s="202"/>
      <c r="E40" s="203" t="str">
        <f>IF(B40="","",SUMIF('[1]001.Orçamento Global'!$D$10:$D$24,'004. Cronograma Físico-Financ.'!B40,'[1]001.Orçamento Global'!$E$10:$E$24))</f>
        <v/>
      </c>
      <c r="F40" s="204"/>
      <c r="G40" s="203" t="str">
        <f t="shared" ref="G40:R40" si="9">IF(G39&lt;&gt;"",1,"")</f>
        <v/>
      </c>
      <c r="H40" s="203" t="str">
        <f t="shared" si="9"/>
        <v/>
      </c>
      <c r="I40" s="203" t="str">
        <f t="shared" si="9"/>
        <v/>
      </c>
      <c r="J40" s="204" t="str">
        <f t="shared" si="9"/>
        <v/>
      </c>
      <c r="K40" s="203" t="str">
        <f t="shared" si="9"/>
        <v/>
      </c>
      <c r="L40" s="204" t="str">
        <f t="shared" si="9"/>
        <v/>
      </c>
      <c r="M40" s="203" t="e">
        <f t="shared" si="9"/>
        <v>#VALUE!</v>
      </c>
      <c r="N40" s="204">
        <f t="shared" si="9"/>
        <v>1</v>
      </c>
      <c r="O40" s="203" t="e">
        <f t="shared" si="9"/>
        <v>#VALUE!</v>
      </c>
      <c r="P40" s="204">
        <f t="shared" si="9"/>
        <v>1</v>
      </c>
      <c r="Q40" s="203" t="e">
        <f t="shared" si="9"/>
        <v>#VALUE!</v>
      </c>
      <c r="R40" s="204">
        <f t="shared" si="9"/>
        <v>1</v>
      </c>
      <c r="S40" s="206"/>
      <c r="T40" s="206"/>
    </row>
    <row r="41" spans="2:22" s="192" customFormat="1" ht="7.5" customHeight="1">
      <c r="B41" s="178"/>
      <c r="C41" s="193"/>
      <c r="D41" s="194"/>
      <c r="E41" s="195" t="str">
        <f>IF(B41="","",SUMIF('[1]001.Orçamento Global'!$D$10:$D$24,'004. Cronograma Físico-Financ.'!B41,'[1]001.Orçamento Global'!$E$10:$E$24))</f>
        <v/>
      </c>
      <c r="F41" s="196"/>
      <c r="G41" s="195"/>
      <c r="H41" s="196"/>
      <c r="I41" s="195"/>
      <c r="J41" s="196"/>
      <c r="K41" s="195"/>
      <c r="L41" s="196"/>
      <c r="M41" s="195"/>
      <c r="N41" s="196"/>
      <c r="O41" s="195"/>
      <c r="P41" s="196"/>
      <c r="Q41" s="195"/>
      <c r="R41" s="196"/>
    </row>
    <row r="42" spans="2:22" s="192" customFormat="1" ht="12.75">
      <c r="B42" s="208" t="s">
        <v>226</v>
      </c>
      <c r="C42" s="193" t="s">
        <v>225</v>
      </c>
      <c r="D42" s="194" t="s">
        <v>226</v>
      </c>
      <c r="E42" s="195" t="e">
        <f>IF(B42="","",SUMIF('[1]001.Orçamento Global'!$D$10:$D$24,'004. Cronograma Físico-Financ.'!B42,'[1]001.Orçamento Global'!$E$10:$E$24))</f>
        <v>#VALUE!</v>
      </c>
      <c r="F42" s="196" t="e">
        <f>E42/$E$47</f>
        <v>#VALUE!</v>
      </c>
      <c r="G42" s="195" t="str">
        <f>IF(H42&lt;&gt;"",$E42*H42,"")</f>
        <v/>
      </c>
      <c r="H42" s="196"/>
      <c r="I42" s="195" t="str">
        <f>IF(J42&lt;&gt;"",$E42*J42,"")</f>
        <v/>
      </c>
      <c r="J42" s="196"/>
      <c r="K42" s="195" t="str">
        <f>IF(L42&lt;&gt;"",$E42*L42,"")</f>
        <v/>
      </c>
      <c r="L42" s="196"/>
      <c r="M42" s="195" t="str">
        <f>IF(N42&lt;&gt;"",$E42*N42,"")</f>
        <v/>
      </c>
      <c r="N42" s="196"/>
      <c r="O42" s="195" t="str">
        <f>IF(P42&lt;&gt;"",$E42*P42,"")</f>
        <v/>
      </c>
      <c r="P42" s="196"/>
      <c r="Q42" s="195" t="e">
        <f>IF(R42&lt;&gt;"",$E42*R42,"")</f>
        <v>#VALUE!</v>
      </c>
      <c r="R42" s="196">
        <v>1</v>
      </c>
      <c r="S42" s="197"/>
      <c r="T42" s="197" t="e">
        <f>SUM(H42,J42,L42,N42,P42,R42,#REF!,#REF!,#REF!,#REF!)</f>
        <v>#REF!</v>
      </c>
      <c r="U42" s="198" t="e">
        <f>SUM(G42,I42,K42,M42,O42,Q42,#REF!,#REF!,#REF!,#REF!)</f>
        <v>#REF!</v>
      </c>
      <c r="V42" s="192" t="e">
        <f>E42=U42</f>
        <v>#VALUE!</v>
      </c>
    </row>
    <row r="43" spans="2:22" s="192" customFormat="1" ht="7.5" customHeight="1">
      <c r="B43" s="178"/>
      <c r="C43" s="193"/>
      <c r="D43" s="194"/>
      <c r="E43" s="195" t="str">
        <f>IF(B43="","",SUMIF('[1]001.Orçamento Global'!$D$10:$D$24,'004. Cronograma Físico-Financ.'!B43,'[1]001.Orçamento Global'!$E$10:$E$24))</f>
        <v/>
      </c>
      <c r="F43" s="196"/>
      <c r="G43" s="195" t="str">
        <f t="shared" ref="G43:R43" si="10">IF(G42&lt;&gt;"",1,"")</f>
        <v/>
      </c>
      <c r="H43" s="195" t="str">
        <f t="shared" si="10"/>
        <v/>
      </c>
      <c r="I43" s="195" t="str">
        <f t="shared" si="10"/>
        <v/>
      </c>
      <c r="J43" s="196" t="str">
        <f t="shared" si="10"/>
        <v/>
      </c>
      <c r="K43" s="195" t="str">
        <f t="shared" si="10"/>
        <v/>
      </c>
      <c r="L43" s="196" t="str">
        <f t="shared" si="10"/>
        <v/>
      </c>
      <c r="M43" s="195" t="str">
        <f t="shared" si="10"/>
        <v/>
      </c>
      <c r="N43" s="196" t="str">
        <f t="shared" si="10"/>
        <v/>
      </c>
      <c r="O43" s="195" t="str">
        <f t="shared" si="10"/>
        <v/>
      </c>
      <c r="P43" s="196" t="str">
        <f t="shared" si="10"/>
        <v/>
      </c>
      <c r="Q43" s="195" t="e">
        <f t="shared" si="10"/>
        <v>#VALUE!</v>
      </c>
      <c r="R43" s="196">
        <f t="shared" si="10"/>
        <v>1</v>
      </c>
      <c r="S43" s="197"/>
      <c r="T43" s="197"/>
    </row>
    <row r="44" spans="2:22" s="214" customFormat="1" ht="7.5" customHeight="1">
      <c r="B44" s="209"/>
      <c r="C44" s="210"/>
      <c r="D44" s="211"/>
      <c r="E44" s="212" t="str">
        <f>IF(B44="","",SUMIF('[1]001.Orçamento Global'!$D$10:$D$24,'004. Cronograma Físico-Financ.'!B44,'[1]001.Orçamento Global'!$E$10:$E$24))</f>
        <v/>
      </c>
      <c r="F44" s="213"/>
      <c r="G44" s="212"/>
      <c r="H44" s="213"/>
      <c r="I44" s="212"/>
      <c r="J44" s="213"/>
      <c r="K44" s="212"/>
      <c r="L44" s="213"/>
      <c r="M44" s="212"/>
      <c r="N44" s="213"/>
      <c r="O44" s="212"/>
      <c r="P44" s="213"/>
      <c r="Q44" s="212"/>
      <c r="R44" s="213"/>
    </row>
    <row r="45" spans="2:22" s="214" customFormat="1" ht="12.75">
      <c r="B45" s="215" t="s">
        <v>230</v>
      </c>
      <c r="C45" s="210" t="s">
        <v>229</v>
      </c>
      <c r="D45" s="211" t="s">
        <v>230</v>
      </c>
      <c r="E45" s="212" t="e">
        <f>IF(B45="","",SUMIF('[1]001.Orçamento Global'!$D$10:$D$24,'004. Cronograma Físico-Financ.'!B45,'[1]001.Orçamento Global'!$E$10:$E$24))</f>
        <v>#VALUE!</v>
      </c>
      <c r="F45" s="213" t="e">
        <f>E45/$E$47</f>
        <v>#VALUE!</v>
      </c>
      <c r="G45" s="212" t="str">
        <f>IF(H45&lt;&gt;"",$E45*H45,"")</f>
        <v/>
      </c>
      <c r="H45" s="213"/>
      <c r="I45" s="212" t="str">
        <f>IF(J45&lt;&gt;"",$E45*J45,"")</f>
        <v/>
      </c>
      <c r="J45" s="213"/>
      <c r="K45" s="212" t="str">
        <f>IF(L45&lt;&gt;"",$E45*L45,"")</f>
        <v/>
      </c>
      <c r="L45" s="213"/>
      <c r="M45" s="212" t="str">
        <f>IF(N45&lt;&gt;"",$E45*N45,"")</f>
        <v/>
      </c>
      <c r="N45" s="213"/>
      <c r="O45" s="212" t="str">
        <f>IF(P45&lt;&gt;"",$E45*P45,"")</f>
        <v/>
      </c>
      <c r="P45" s="213"/>
      <c r="Q45" s="212" t="e">
        <f>IF(R45&lt;&gt;"",$E45*R45,"")</f>
        <v>#VALUE!</v>
      </c>
      <c r="R45" s="213">
        <v>1</v>
      </c>
      <c r="S45" s="216"/>
      <c r="T45" s="216" t="e">
        <f>SUM(H45,J45,L45,N45,P45,R45,#REF!,#REF!,#REF!,#REF!)</f>
        <v>#REF!</v>
      </c>
      <c r="U45" s="217" t="e">
        <f>SUM(G45,I45,K45,M45,O45,Q45,#REF!,#REF!,#REF!,#REF!)</f>
        <v>#REF!</v>
      </c>
      <c r="V45" s="214" t="e">
        <f>E45=U45</f>
        <v>#VALUE!</v>
      </c>
    </row>
    <row r="46" spans="2:22" s="214" customFormat="1" ht="7.5" customHeight="1">
      <c r="B46" s="209"/>
      <c r="C46" s="210"/>
      <c r="D46" s="211"/>
      <c r="E46" s="212" t="str">
        <f>IF(B46="","",SUMIF('[1]001.Orçamento Global'!$D$10:$D$24,'004. Cronograma Físico-Financ.'!B46,'[1]001.Orçamento Global'!$E$10:$E$24))</f>
        <v/>
      </c>
      <c r="F46" s="213"/>
      <c r="G46" s="212" t="str">
        <f t="shared" ref="G46:R46" si="11">IF(G45&lt;&gt;"",1,"")</f>
        <v/>
      </c>
      <c r="H46" s="212" t="str">
        <f t="shared" si="11"/>
        <v/>
      </c>
      <c r="I46" s="212" t="str">
        <f t="shared" si="11"/>
        <v/>
      </c>
      <c r="J46" s="213" t="str">
        <f t="shared" si="11"/>
        <v/>
      </c>
      <c r="K46" s="212" t="str">
        <f t="shared" si="11"/>
        <v/>
      </c>
      <c r="L46" s="213" t="str">
        <f t="shared" si="11"/>
        <v/>
      </c>
      <c r="M46" s="212" t="str">
        <f t="shared" si="11"/>
        <v/>
      </c>
      <c r="N46" s="213" t="str">
        <f t="shared" si="11"/>
        <v/>
      </c>
      <c r="O46" s="212" t="str">
        <f t="shared" si="11"/>
        <v/>
      </c>
      <c r="P46" s="213" t="str">
        <f t="shared" si="11"/>
        <v/>
      </c>
      <c r="Q46" s="212" t="e">
        <f t="shared" si="11"/>
        <v>#VALUE!</v>
      </c>
      <c r="R46" s="213">
        <f t="shared" si="11"/>
        <v>1</v>
      </c>
      <c r="S46" s="216"/>
      <c r="T46" s="216"/>
    </row>
    <row r="47" spans="2:22" s="228" customFormat="1" ht="13.5">
      <c r="B47" s="178"/>
      <c r="C47" s="223"/>
      <c r="D47" s="224" t="s">
        <v>251</v>
      </c>
      <c r="E47" s="225" t="e">
        <f>SUM(E12,E15,E21,E24,E30,E33,E36,E39,E45,E42,E27,E18)</f>
        <v>#VALUE!</v>
      </c>
      <c r="F47" s="226">
        <v>1</v>
      </c>
      <c r="G47" s="225" t="e">
        <f>SUM(G12,G15,G21,G24,G30,G33,G36,G39,G45,G27,G18,G42)</f>
        <v>#VALUE!</v>
      </c>
      <c r="H47" s="227" t="e">
        <f>G47/$E$47</f>
        <v>#VALUE!</v>
      </c>
      <c r="I47" s="225" t="e">
        <f>SUM(I12,I15,I21,I24,I30,I33,I36,I39,I45,I27,I18,I42)</f>
        <v>#VALUE!</v>
      </c>
      <c r="J47" s="227" t="e">
        <f>I47/$E$47</f>
        <v>#VALUE!</v>
      </c>
      <c r="K47" s="225" t="e">
        <f>SUM(K12,K15,K21,K24,K30,K33,K36,K39,K45,K27,K18,K42)</f>
        <v>#VALUE!</v>
      </c>
      <c r="L47" s="227" t="e">
        <f>K47/$E$47</f>
        <v>#VALUE!</v>
      </c>
      <c r="M47" s="225" t="e">
        <f>SUM(M12,M15,M21,M24,M30,M33,M36,M39,M45,M27,M18,M42)</f>
        <v>#VALUE!</v>
      </c>
      <c r="N47" s="227" t="e">
        <f>M47/$E$47</f>
        <v>#VALUE!</v>
      </c>
      <c r="O47" s="225" t="e">
        <f>SUM(O12,O15,O21,O24,O30,O33,O36,O39,O45,O27,O18,O42)</f>
        <v>#VALUE!</v>
      </c>
      <c r="P47" s="227" t="e">
        <f>O47/$E$47</f>
        <v>#VALUE!</v>
      </c>
      <c r="Q47" s="225" t="e">
        <f>SUM(Q12,Q15,Q21,Q24,Q30,Q33,Q36,Q39,Q45,Q27,Q18,Q42)</f>
        <v>#VALUE!</v>
      </c>
      <c r="R47" s="227" t="e">
        <f>Q47/$E$47</f>
        <v>#VALUE!</v>
      </c>
    </row>
    <row r="48" spans="2:22" s="228" customFormat="1" ht="13.5">
      <c r="B48" s="178"/>
      <c r="C48" s="223"/>
      <c r="D48" s="224" t="s">
        <v>252</v>
      </c>
      <c r="E48" s="225" t="e">
        <f>E47</f>
        <v>#VALUE!</v>
      </c>
      <c r="F48" s="226">
        <v>1</v>
      </c>
      <c r="G48" s="225" t="e">
        <f>G47</f>
        <v>#VALUE!</v>
      </c>
      <c r="H48" s="229" t="e">
        <f>G48/$E$48</f>
        <v>#VALUE!</v>
      </c>
      <c r="I48" s="225" t="e">
        <f>G48+I47</f>
        <v>#VALUE!</v>
      </c>
      <c r="J48" s="229" t="e">
        <f>I48/$E$48</f>
        <v>#VALUE!</v>
      </c>
      <c r="K48" s="225" t="e">
        <f>I48+K47</f>
        <v>#VALUE!</v>
      </c>
      <c r="L48" s="229" t="e">
        <f>K48/$E$48</f>
        <v>#VALUE!</v>
      </c>
      <c r="M48" s="225" t="e">
        <f>K48+M47</f>
        <v>#VALUE!</v>
      </c>
      <c r="N48" s="229" t="e">
        <f>M48/$E$48</f>
        <v>#VALUE!</v>
      </c>
      <c r="O48" s="225" t="e">
        <f>M48+O47</f>
        <v>#VALUE!</v>
      </c>
      <c r="P48" s="229" t="e">
        <f>O48/$E$48</f>
        <v>#VALUE!</v>
      </c>
      <c r="Q48" s="225" t="e">
        <f>O48+Q47</f>
        <v>#VALUE!</v>
      </c>
      <c r="R48" s="229" t="e">
        <f>Q48/$E$48</f>
        <v>#VALUE!</v>
      </c>
    </row>
    <row r="49" spans="7:18" hidden="1">
      <c r="G49" s="230" t="e">
        <f>$E$47/10</f>
        <v>#VALUE!</v>
      </c>
      <c r="I49" s="230" t="e">
        <f>$E$47/10</f>
        <v>#VALUE!</v>
      </c>
      <c r="J49" s="231"/>
      <c r="K49" s="230" t="e">
        <f>$E$47/10</f>
        <v>#VALUE!</v>
      </c>
      <c r="L49" s="231"/>
      <c r="M49" s="230" t="e">
        <f>$E$47/10</f>
        <v>#VALUE!</v>
      </c>
      <c r="N49" s="231"/>
      <c r="O49" s="230" t="e">
        <f>$E$47/10</f>
        <v>#VALUE!</v>
      </c>
      <c r="P49" s="231"/>
      <c r="Q49" s="230" t="e">
        <f>$E$47/10</f>
        <v>#VALUE!</v>
      </c>
      <c r="R49" s="231"/>
    </row>
    <row r="50" spans="7:18" hidden="1">
      <c r="G50" s="230" t="e">
        <f>G49-G47</f>
        <v>#VALUE!</v>
      </c>
      <c r="H50" s="230"/>
      <c r="I50" s="230" t="e">
        <f>I49-I47</f>
        <v>#VALUE!</v>
      </c>
      <c r="J50" s="230"/>
      <c r="K50" s="230" t="e">
        <f>K49-K47</f>
        <v>#VALUE!</v>
      </c>
      <c r="L50" s="230"/>
      <c r="M50" s="230" t="e">
        <f>M49-M47</f>
        <v>#VALUE!</v>
      </c>
      <c r="N50" s="230"/>
      <c r="O50" s="230" t="e">
        <f>O49-O47</f>
        <v>#VALUE!</v>
      </c>
      <c r="P50" s="230"/>
      <c r="Q50" s="230" t="e">
        <f>Q49-Q47</f>
        <v>#VALUE!</v>
      </c>
      <c r="R50" s="230"/>
    </row>
    <row r="51" spans="7:18"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</row>
    <row r="52" spans="7:18"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</row>
    <row r="53" spans="7:18">
      <c r="I53" s="231" t="s">
        <v>234</v>
      </c>
      <c r="J53" s="231" t="s">
        <v>253</v>
      </c>
      <c r="K53" s="231" t="s">
        <v>254</v>
      </c>
    </row>
    <row r="54" spans="7:18">
      <c r="I54" s="231">
        <v>15</v>
      </c>
      <c r="J54" s="233" t="e">
        <f>$H$47</f>
        <v>#VALUE!</v>
      </c>
      <c r="K54" s="233" t="e">
        <f>J54</f>
        <v>#VALUE!</v>
      </c>
    </row>
    <row r="55" spans="7:18">
      <c r="I55" s="231">
        <v>30</v>
      </c>
      <c r="J55" s="233" t="e">
        <f>$J$47</f>
        <v>#VALUE!</v>
      </c>
      <c r="K55" s="233" t="e">
        <f>K54+J55</f>
        <v>#VALUE!</v>
      </c>
    </row>
    <row r="56" spans="7:18">
      <c r="I56" s="231">
        <v>45</v>
      </c>
      <c r="J56" s="233" t="e">
        <f>$L$47</f>
        <v>#VALUE!</v>
      </c>
      <c r="K56" s="233" t="e">
        <f>K55+J56</f>
        <v>#VALUE!</v>
      </c>
    </row>
    <row r="57" spans="7:18">
      <c r="I57" s="231">
        <v>60</v>
      </c>
      <c r="J57" s="233" t="e">
        <f>$N$47</f>
        <v>#VALUE!</v>
      </c>
      <c r="K57" s="233" t="e">
        <f>K56+J57</f>
        <v>#VALUE!</v>
      </c>
    </row>
    <row r="58" spans="7:18">
      <c r="I58" s="231">
        <v>75</v>
      </c>
      <c r="J58" s="233" t="e">
        <f>$P$47</f>
        <v>#VALUE!</v>
      </c>
      <c r="K58" s="233" t="e">
        <f>K57+J58</f>
        <v>#VALUE!</v>
      </c>
    </row>
    <row r="59" spans="7:18">
      <c r="I59" s="231">
        <v>90</v>
      </c>
      <c r="J59" s="233" t="e">
        <f>$R$47</f>
        <v>#VALUE!</v>
      </c>
      <c r="K59" s="233" t="e">
        <f>K58+J59</f>
        <v>#VALUE!</v>
      </c>
    </row>
    <row r="60" spans="7:18">
      <c r="I60" s="231"/>
      <c r="J60" s="233"/>
      <c r="K60" s="233"/>
    </row>
    <row r="61" spans="7:18">
      <c r="I61" s="231"/>
      <c r="J61" s="233"/>
      <c r="K61" s="233"/>
    </row>
    <row r="62" spans="7:18">
      <c r="I62" s="231"/>
      <c r="J62" s="233"/>
      <c r="K62" s="233"/>
    </row>
    <row r="63" spans="7:18">
      <c r="I63" s="231"/>
      <c r="J63" s="233"/>
      <c r="K63" s="233"/>
    </row>
    <row r="95" ht="7.5" customHeight="1"/>
  </sheetData>
  <conditionalFormatting sqref="G13:R13 G22:R22 K16:R16">
    <cfRule type="cellIs" dxfId="26" priority="13" operator="equal">
      <formula>1</formula>
    </cfRule>
  </conditionalFormatting>
  <conditionalFormatting sqref="V1:V13 V47:V1048576">
    <cfRule type="containsText" dxfId="25" priority="12" operator="containsText" text="falso">
      <formula>NOT(ISERROR(SEARCH("falso",V1)))</formula>
    </cfRule>
  </conditionalFormatting>
  <conditionalFormatting sqref="G16:J16">
    <cfRule type="cellIs" dxfId="24" priority="11" operator="equal">
      <formula>1</formula>
    </cfRule>
  </conditionalFormatting>
  <conditionalFormatting sqref="V14:V16 V20:V22">
    <cfRule type="containsText" dxfId="23" priority="10" operator="containsText" text="falso">
      <formula>NOT(ISERROR(SEARCH("falso",V14)))</formula>
    </cfRule>
  </conditionalFormatting>
  <conditionalFormatting sqref="G31:R31 G37:R37 G46:R46 K25:R25 K34:R34 K40:R40">
    <cfRule type="cellIs" dxfId="22" priority="9" operator="equal">
      <formula>1</formula>
    </cfRule>
  </conditionalFormatting>
  <conditionalFormatting sqref="G25:J25 G34:J34 G40:J40">
    <cfRule type="cellIs" dxfId="21" priority="8" operator="equal">
      <formula>1</formula>
    </cfRule>
  </conditionalFormatting>
  <conditionalFormatting sqref="V23:V25 V29:V40 V44:V46">
    <cfRule type="containsText" dxfId="20" priority="7" operator="containsText" text="falso">
      <formula>NOT(ISERROR(SEARCH("falso",V23)))</formula>
    </cfRule>
  </conditionalFormatting>
  <conditionalFormatting sqref="G19:R19">
    <cfRule type="cellIs" dxfId="19" priority="6" operator="equal">
      <formula>1</formula>
    </cfRule>
  </conditionalFormatting>
  <conditionalFormatting sqref="V17:V19">
    <cfRule type="containsText" dxfId="18" priority="5" operator="containsText" text="falso">
      <formula>NOT(ISERROR(SEARCH("falso",V17)))</formula>
    </cfRule>
  </conditionalFormatting>
  <conditionalFormatting sqref="G28:R28">
    <cfRule type="cellIs" dxfId="17" priority="4" operator="equal">
      <formula>1</formula>
    </cfRule>
  </conditionalFormatting>
  <conditionalFormatting sqref="V26:V28">
    <cfRule type="containsText" dxfId="16" priority="3" operator="containsText" text="falso">
      <formula>NOT(ISERROR(SEARCH("falso",V26)))</formula>
    </cfRule>
  </conditionalFormatting>
  <conditionalFormatting sqref="G43:R43">
    <cfRule type="cellIs" dxfId="15" priority="2" operator="equal">
      <formula>1</formula>
    </cfRule>
  </conditionalFormatting>
  <conditionalFormatting sqref="V41:V43">
    <cfRule type="containsText" dxfId="14" priority="1" operator="containsText" text="falso">
      <formula>NOT(ISERROR(SEARCH("falso",V41)))</formula>
    </cfRule>
  </conditionalFormatting>
  <printOptions horizontalCentered="1"/>
  <pageMargins left="0.19685039370078741" right="0.19685039370078741" top="1.4960629921259843" bottom="0.74803149606299213" header="0.35433070866141736" footer="0.19685039370078741"/>
  <pageSetup paperSize="9" scale="71" fitToHeight="0" orientation="landscape" r:id="rId1"/>
  <headerFooter>
    <oddHeader>&amp;L&amp;G&amp;C&amp;"Arial Narrow,Negrito"&amp;14REPÚBLICA FEDERATIVA DO BRASIL
MINISTÉRIO DA EDUCAÇÃO
SECRETARIA DE EDUCAÇÃO TECNOLÓGICA
INSTITUTO FEDERAL DE EDUCAÇÃO, CIÊNCIA E TEC. DO AMAZONAS
PRÓ-REITORIA DE DES. INSTITUCIONAL
DIRETORIA OBRAS E SERV. DE ENGENHARIA&amp;R&amp;G</oddHeader>
    <oddFooter>&amp;C&amp;"Arial Narrow,Normal"&amp;12Reitoria - Avenida Ferreira Pena, 1.109, Centro - Manaus/AM - CEP: 69.025-010.
E-mail: enge.ifam@ifam.edu.br
Tel: (92) 3306-0045&amp;R&amp;"Arial Narrow,Normal"&amp;12Página &amp;P de &amp;N</oddFooter>
  </headerFooter>
  <rowBreaks count="1" manualBreakCount="1">
    <brk id="51" min="1" max="21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P201"/>
  <sheetViews>
    <sheetView showGridLines="0" view="pageBreakPreview" zoomScaleNormal="100" zoomScaleSheetLayoutView="100" workbookViewId="0">
      <pane xSplit="1" ySplit="9" topLeftCell="B13" activePane="bottomRight" state="frozen"/>
      <selection activeCell="K26" sqref="K26"/>
      <selection pane="topRight" activeCell="K26" sqref="K26"/>
      <selection pane="bottomLeft" activeCell="K26" sqref="K26"/>
      <selection pane="bottomRight" activeCell="K26" sqref="K26"/>
    </sheetView>
  </sheetViews>
  <sheetFormatPr defaultColWidth="9.140625" defaultRowHeight="12.75"/>
  <cols>
    <col min="1" max="1" width="7.140625" style="178" customWidth="1"/>
    <col min="2" max="2" width="18.5703125" style="178" customWidth="1"/>
    <col min="3" max="3" width="38.85546875" style="272" customWidth="1"/>
    <col min="4" max="4" width="9.140625" style="178"/>
    <col min="5" max="6" width="9.7109375" style="178" bestFit="1" customWidth="1"/>
    <col min="7" max="7" width="10.140625" style="178" customWidth="1"/>
    <col min="8" max="8" width="15.42578125" style="178" bestFit="1" customWidth="1"/>
    <col min="9" max="11" width="9.140625" style="178"/>
    <col min="12" max="12" width="17.5703125" style="178" customWidth="1"/>
    <col min="13" max="16384" width="9.140625" style="178"/>
  </cols>
  <sheetData>
    <row r="2" spans="1:8" s="200" customFormat="1">
      <c r="A2" s="234"/>
      <c r="B2" s="235" t="s">
        <v>143</v>
      </c>
      <c r="C2" s="236"/>
      <c r="D2" s="234"/>
      <c r="E2" s="237"/>
      <c r="F2" s="234"/>
      <c r="G2" s="138" t="s">
        <v>144</v>
      </c>
      <c r="H2" s="139" t="s">
        <v>145</v>
      </c>
    </row>
    <row r="3" spans="1:8" s="200" customFormat="1">
      <c r="A3" s="234"/>
      <c r="B3" s="235" t="s">
        <v>146</v>
      </c>
      <c r="C3" s="236"/>
      <c r="D3" s="234"/>
      <c r="E3" s="237"/>
      <c r="F3" s="234"/>
      <c r="G3" s="138" t="s">
        <v>147</v>
      </c>
      <c r="H3" s="139" t="s">
        <v>148</v>
      </c>
    </row>
    <row r="4" spans="1:8" s="200" customFormat="1">
      <c r="A4" s="234"/>
      <c r="B4" s="238"/>
      <c r="C4" s="236"/>
      <c r="D4" s="234"/>
      <c r="E4" s="237"/>
      <c r="F4" s="234"/>
      <c r="G4" s="138" t="s">
        <v>149</v>
      </c>
      <c r="H4" s="141">
        <v>0.84809999999999997</v>
      </c>
    </row>
    <row r="5" spans="1:8" s="200" customFormat="1">
      <c r="A5" s="234"/>
      <c r="B5" s="239"/>
      <c r="C5" s="236"/>
      <c r="D5" s="234"/>
      <c r="E5" s="237"/>
      <c r="F5" s="234"/>
      <c r="G5" s="138" t="s">
        <v>150</v>
      </c>
      <c r="H5" s="141">
        <v>0.48070000000000002</v>
      </c>
    </row>
    <row r="6" spans="1:8" s="200" customFormat="1">
      <c r="A6" s="234"/>
      <c r="B6" s="239"/>
      <c r="C6" s="236"/>
      <c r="D6" s="234"/>
      <c r="E6" s="237"/>
      <c r="F6" s="234"/>
      <c r="G6" s="138" t="s">
        <v>151</v>
      </c>
      <c r="H6" s="141">
        <v>0.28349999999999997</v>
      </c>
    </row>
    <row r="7" spans="1:8" s="200" customFormat="1">
      <c r="A7" s="234"/>
      <c r="B7" s="240" t="s">
        <v>255</v>
      </c>
      <c r="C7" s="241"/>
      <c r="D7" s="241"/>
      <c r="E7" s="242"/>
      <c r="F7" s="241"/>
      <c r="G7" s="145"/>
      <c r="H7" s="141"/>
    </row>
    <row r="8" spans="1:8">
      <c r="A8" s="243"/>
      <c r="B8" s="240"/>
      <c r="C8" s="244"/>
      <c r="D8" s="244"/>
      <c r="E8" s="245"/>
      <c r="F8" s="244"/>
      <c r="G8" s="246"/>
      <c r="H8" s="141"/>
    </row>
    <row r="9" spans="1:8" s="177" customFormat="1">
      <c r="B9" s="17" t="s">
        <v>19</v>
      </c>
      <c r="C9" s="17" t="s">
        <v>20</v>
      </c>
      <c r="D9" s="18" t="s">
        <v>21</v>
      </c>
      <c r="E9" s="18" t="s">
        <v>22</v>
      </c>
      <c r="F9" s="19" t="s">
        <v>23</v>
      </c>
      <c r="G9" s="20" t="s">
        <v>24</v>
      </c>
      <c r="H9" s="21" t="s">
        <v>25</v>
      </c>
    </row>
    <row r="10" spans="1:8" ht="38.25">
      <c r="B10" s="247" t="s">
        <v>256</v>
      </c>
      <c r="C10" s="248" t="s">
        <v>141</v>
      </c>
      <c r="D10" s="249" t="s">
        <v>257</v>
      </c>
      <c r="E10" s="249" t="s">
        <v>258</v>
      </c>
      <c r="F10" s="250"/>
      <c r="G10" s="251"/>
      <c r="H10" s="252"/>
    </row>
    <row r="11" spans="1:8" ht="25.5">
      <c r="B11" s="253">
        <v>12056</v>
      </c>
      <c r="C11" s="254" t="s">
        <v>259</v>
      </c>
      <c r="D11" s="255" t="s">
        <v>67</v>
      </c>
      <c r="E11" s="255" t="s">
        <v>1</v>
      </c>
      <c r="F11" s="256">
        <v>1</v>
      </c>
      <c r="G11" s="257">
        <v>19.03</v>
      </c>
      <c r="H11" s="258">
        <f>F11*G11</f>
        <v>19.03</v>
      </c>
    </row>
    <row r="12" spans="1:8" ht="51">
      <c r="B12" s="253">
        <v>12344</v>
      </c>
      <c r="C12" s="254" t="s">
        <v>260</v>
      </c>
      <c r="D12" s="255" t="s">
        <v>67</v>
      </c>
      <c r="E12" s="255" t="s">
        <v>10</v>
      </c>
      <c r="F12" s="256">
        <v>3</v>
      </c>
      <c r="G12" s="257">
        <v>1.69</v>
      </c>
      <c r="H12" s="258">
        <f t="shared" ref="H12:H21" si="0">F12*G12</f>
        <v>5.07</v>
      </c>
    </row>
    <row r="13" spans="1:8" ht="25.5">
      <c r="B13" s="253">
        <v>1875</v>
      </c>
      <c r="C13" s="254" t="s">
        <v>261</v>
      </c>
      <c r="D13" s="255" t="s">
        <v>67</v>
      </c>
      <c r="E13" s="255" t="s">
        <v>10</v>
      </c>
      <c r="F13" s="256">
        <v>2</v>
      </c>
      <c r="G13" s="257">
        <v>4.3</v>
      </c>
      <c r="H13" s="258">
        <f t="shared" si="0"/>
        <v>8.6</v>
      </c>
    </row>
    <row r="14" spans="1:8" ht="25.5">
      <c r="B14" s="253">
        <v>2673</v>
      </c>
      <c r="C14" s="254" t="s">
        <v>262</v>
      </c>
      <c r="D14" s="255" t="s">
        <v>67</v>
      </c>
      <c r="E14" s="255" t="s">
        <v>1</v>
      </c>
      <c r="F14" s="256">
        <v>12</v>
      </c>
      <c r="G14" s="257">
        <v>1.9</v>
      </c>
      <c r="H14" s="258">
        <f t="shared" si="0"/>
        <v>22.799999999999997</v>
      </c>
    </row>
    <row r="15" spans="1:8" ht="25.5">
      <c r="B15" s="253">
        <v>3406</v>
      </c>
      <c r="C15" s="254" t="s">
        <v>263</v>
      </c>
      <c r="D15" s="255" t="s">
        <v>67</v>
      </c>
      <c r="E15" s="255" t="s">
        <v>10</v>
      </c>
      <c r="F15" s="256">
        <v>4</v>
      </c>
      <c r="G15" s="257">
        <v>20.7</v>
      </c>
      <c r="H15" s="258">
        <f t="shared" si="0"/>
        <v>82.8</v>
      </c>
    </row>
    <row r="16" spans="1:8">
      <c r="B16" s="253">
        <v>392</v>
      </c>
      <c r="C16" s="254" t="s">
        <v>264</v>
      </c>
      <c r="D16" s="255" t="s">
        <v>67</v>
      </c>
      <c r="E16" s="255" t="s">
        <v>10</v>
      </c>
      <c r="F16" s="256">
        <v>1</v>
      </c>
      <c r="G16" s="257">
        <v>0.68</v>
      </c>
      <c r="H16" s="258">
        <f t="shared" si="0"/>
        <v>0.68</v>
      </c>
    </row>
    <row r="17" spans="2:8" ht="38.25">
      <c r="B17" s="253">
        <v>4481</v>
      </c>
      <c r="C17" s="254" t="s">
        <v>265</v>
      </c>
      <c r="D17" s="255" t="s">
        <v>67</v>
      </c>
      <c r="E17" s="255" t="s">
        <v>1</v>
      </c>
      <c r="F17" s="256">
        <v>5</v>
      </c>
      <c r="G17" s="257">
        <v>21.76</v>
      </c>
      <c r="H17" s="258">
        <f t="shared" si="0"/>
        <v>108.80000000000001</v>
      </c>
    </row>
    <row r="18" spans="2:8" ht="38.25">
      <c r="B18" s="253">
        <v>7701</v>
      </c>
      <c r="C18" s="254" t="s">
        <v>266</v>
      </c>
      <c r="D18" s="255" t="s">
        <v>67</v>
      </c>
      <c r="E18" s="255" t="s">
        <v>1</v>
      </c>
      <c r="F18" s="256">
        <v>1</v>
      </c>
      <c r="G18" s="257">
        <v>56.23</v>
      </c>
      <c r="H18" s="258">
        <f t="shared" si="0"/>
        <v>56.23</v>
      </c>
    </row>
    <row r="19" spans="2:8" ht="25.5">
      <c r="B19" s="253" t="s">
        <v>267</v>
      </c>
      <c r="C19" s="254" t="s">
        <v>268</v>
      </c>
      <c r="D19" s="255" t="s">
        <v>14</v>
      </c>
      <c r="E19" s="255" t="s">
        <v>15</v>
      </c>
      <c r="F19" s="256">
        <v>4</v>
      </c>
      <c r="G19" s="257">
        <v>21</v>
      </c>
      <c r="H19" s="258">
        <f t="shared" si="0"/>
        <v>84</v>
      </c>
    </row>
    <row r="20" spans="2:8">
      <c r="B20" s="253" t="s">
        <v>269</v>
      </c>
      <c r="C20" s="254" t="s">
        <v>17</v>
      </c>
      <c r="D20" s="255" t="s">
        <v>14</v>
      </c>
      <c r="E20" s="255" t="s">
        <v>15</v>
      </c>
      <c r="F20" s="256">
        <v>4</v>
      </c>
      <c r="G20" s="257">
        <v>14.63</v>
      </c>
      <c r="H20" s="258">
        <f t="shared" si="0"/>
        <v>58.52</v>
      </c>
    </row>
    <row r="21" spans="2:8" ht="25.5">
      <c r="B21" s="253">
        <v>979</v>
      </c>
      <c r="C21" s="254" t="s">
        <v>270</v>
      </c>
      <c r="D21" s="255" t="s">
        <v>67</v>
      </c>
      <c r="E21" s="255" t="s">
        <v>1</v>
      </c>
      <c r="F21" s="256">
        <v>20</v>
      </c>
      <c r="G21" s="257">
        <v>6.3</v>
      </c>
      <c r="H21" s="258">
        <f t="shared" si="0"/>
        <v>126</v>
      </c>
    </row>
    <row r="22" spans="2:8">
      <c r="B22" s="673" t="s">
        <v>271</v>
      </c>
      <c r="C22" s="674"/>
      <c r="D22" s="674"/>
      <c r="E22" s="674"/>
      <c r="F22" s="674"/>
      <c r="G22" s="674"/>
      <c r="H22" s="259">
        <f>SUMIF(D11:D21,"SER.CG",H11:H21)</f>
        <v>142.52000000000001</v>
      </c>
    </row>
    <row r="23" spans="2:8">
      <c r="B23" s="673" t="s">
        <v>272</v>
      </c>
      <c r="C23" s="674"/>
      <c r="D23" s="674"/>
      <c r="E23" s="674"/>
      <c r="F23" s="674"/>
      <c r="G23" s="674"/>
      <c r="H23" s="259">
        <f>SUMIF(D11:D21,"MAT.",H11:H21)</f>
        <v>430.01000000000005</v>
      </c>
    </row>
    <row r="24" spans="2:8">
      <c r="B24" s="673" t="s">
        <v>273</v>
      </c>
      <c r="C24" s="674"/>
      <c r="D24" s="674"/>
      <c r="E24" s="674"/>
      <c r="F24" s="674"/>
      <c r="G24" s="674"/>
      <c r="H24" s="260">
        <f>SUM(H22:H23)</f>
        <v>572.53000000000009</v>
      </c>
    </row>
    <row r="25" spans="2:8">
      <c r="B25" s="673" t="s">
        <v>274</v>
      </c>
      <c r="C25" s="674"/>
      <c r="D25" s="674"/>
      <c r="E25" s="674"/>
      <c r="F25" s="674"/>
      <c r="G25" s="674"/>
      <c r="H25" s="259">
        <f>H4*H22</f>
        <v>120.871212</v>
      </c>
    </row>
    <row r="26" spans="2:8">
      <c r="B26" s="673" t="s">
        <v>275</v>
      </c>
      <c r="C26" s="674"/>
      <c r="D26" s="674"/>
      <c r="E26" s="674"/>
      <c r="F26" s="674"/>
      <c r="G26" s="674"/>
      <c r="H26" s="259">
        <v>365.23</v>
      </c>
    </row>
    <row r="27" spans="2:8">
      <c r="B27" s="673" t="s">
        <v>276</v>
      </c>
      <c r="C27" s="674"/>
      <c r="D27" s="674"/>
      <c r="E27" s="674"/>
      <c r="F27" s="674"/>
      <c r="G27" s="674"/>
      <c r="H27" s="259">
        <v>0</v>
      </c>
    </row>
    <row r="28" spans="2:8">
      <c r="B28" s="673" t="s">
        <v>277</v>
      </c>
      <c r="C28" s="674"/>
      <c r="D28" s="674"/>
      <c r="E28" s="674"/>
      <c r="F28" s="674"/>
      <c r="G28" s="674"/>
      <c r="H28" s="259">
        <v>588.47</v>
      </c>
    </row>
    <row r="29" spans="2:8">
      <c r="B29" s="673" t="s">
        <v>278</v>
      </c>
      <c r="C29" s="674"/>
      <c r="D29" s="674"/>
      <c r="E29" s="674"/>
      <c r="F29" s="674"/>
      <c r="G29" s="674"/>
      <c r="H29" s="260">
        <f>ROUNDDOWN(H24+H28,2)</f>
        <v>1161</v>
      </c>
    </row>
    <row r="30" spans="2:8">
      <c r="B30" s="673" t="s">
        <v>279</v>
      </c>
      <c r="C30" s="674"/>
      <c r="D30" s="674"/>
      <c r="E30" s="674"/>
      <c r="F30" s="674"/>
      <c r="G30" s="674"/>
      <c r="H30" s="259">
        <v>1</v>
      </c>
    </row>
    <row r="31" spans="2:8">
      <c r="B31" s="673" t="s">
        <v>280</v>
      </c>
      <c r="C31" s="674"/>
      <c r="D31" s="674"/>
      <c r="E31" s="674"/>
      <c r="F31" s="674"/>
      <c r="G31" s="674"/>
      <c r="H31" s="260">
        <f>ROUNDDOWN(H29*H30,2)</f>
        <v>1161</v>
      </c>
    </row>
    <row r="32" spans="2:8">
      <c r="B32" s="677"/>
      <c r="C32" s="678"/>
      <c r="D32" s="678"/>
      <c r="E32" s="678"/>
      <c r="F32" s="678"/>
      <c r="G32" s="678"/>
      <c r="H32" s="679"/>
    </row>
    <row r="33" spans="2:8" ht="25.5">
      <c r="B33" s="247" t="s">
        <v>281</v>
      </c>
      <c r="C33" s="248" t="s">
        <v>140</v>
      </c>
      <c r="D33" s="249" t="s">
        <v>257</v>
      </c>
      <c r="E33" s="249" t="s">
        <v>258</v>
      </c>
      <c r="F33" s="250"/>
      <c r="G33" s="251"/>
      <c r="H33" s="252"/>
    </row>
    <row r="34" spans="2:8" ht="25.5">
      <c r="B34" s="253">
        <v>11670</v>
      </c>
      <c r="C34" s="254" t="s">
        <v>282</v>
      </c>
      <c r="D34" s="255" t="s">
        <v>67</v>
      </c>
      <c r="E34" s="255" t="s">
        <v>10</v>
      </c>
      <c r="F34" s="256">
        <v>1</v>
      </c>
      <c r="G34" s="257">
        <v>7.66</v>
      </c>
      <c r="H34" s="258">
        <f>G34*F34</f>
        <v>7.66</v>
      </c>
    </row>
    <row r="35" spans="2:8" ht="25.5">
      <c r="B35" s="253">
        <v>11822</v>
      </c>
      <c r="C35" s="254" t="s">
        <v>283</v>
      </c>
      <c r="D35" s="255" t="s">
        <v>67</v>
      </c>
      <c r="E35" s="255" t="s">
        <v>10</v>
      </c>
      <c r="F35" s="256">
        <v>1</v>
      </c>
      <c r="G35" s="257">
        <v>31.92</v>
      </c>
      <c r="H35" s="258">
        <f t="shared" ref="H35:H40" si="1">G35*F35</f>
        <v>31.92</v>
      </c>
    </row>
    <row r="36" spans="2:8" ht="25.5">
      <c r="B36" s="253">
        <v>3859</v>
      </c>
      <c r="C36" s="254" t="s">
        <v>284</v>
      </c>
      <c r="D36" s="255" t="s">
        <v>67</v>
      </c>
      <c r="E36" s="255" t="s">
        <v>10</v>
      </c>
      <c r="F36" s="256">
        <v>1</v>
      </c>
      <c r="G36" s="257">
        <v>0.85</v>
      </c>
      <c r="H36" s="258">
        <f t="shared" si="1"/>
        <v>0.85</v>
      </c>
    </row>
    <row r="37" spans="2:8" ht="25.5">
      <c r="B37" s="253">
        <v>3861</v>
      </c>
      <c r="C37" s="254" t="s">
        <v>285</v>
      </c>
      <c r="D37" s="255" t="s">
        <v>67</v>
      </c>
      <c r="E37" s="255" t="s">
        <v>10</v>
      </c>
      <c r="F37" s="256">
        <v>3</v>
      </c>
      <c r="G37" s="257">
        <v>0.4</v>
      </c>
      <c r="H37" s="258">
        <f t="shared" si="1"/>
        <v>1.2000000000000002</v>
      </c>
    </row>
    <row r="38" spans="2:8" ht="25.5">
      <c r="B38" s="253" t="s">
        <v>286</v>
      </c>
      <c r="C38" s="254" t="s">
        <v>87</v>
      </c>
      <c r="D38" s="255" t="s">
        <v>14</v>
      </c>
      <c r="E38" s="255" t="s">
        <v>15</v>
      </c>
      <c r="F38" s="256">
        <v>2</v>
      </c>
      <c r="G38" s="257">
        <v>17.77</v>
      </c>
      <c r="H38" s="258">
        <f t="shared" si="1"/>
        <v>35.54</v>
      </c>
    </row>
    <row r="39" spans="2:8">
      <c r="B39" s="253" t="s">
        <v>269</v>
      </c>
      <c r="C39" s="254" t="s">
        <v>17</v>
      </c>
      <c r="D39" s="255" t="s">
        <v>14</v>
      </c>
      <c r="E39" s="255" t="s">
        <v>15</v>
      </c>
      <c r="F39" s="256">
        <v>4</v>
      </c>
      <c r="G39" s="257">
        <v>14.63</v>
      </c>
      <c r="H39" s="258">
        <f t="shared" si="1"/>
        <v>58.52</v>
      </c>
    </row>
    <row r="40" spans="2:8" ht="25.5">
      <c r="B40" s="253">
        <v>9867</v>
      </c>
      <c r="C40" s="254" t="s">
        <v>287</v>
      </c>
      <c r="D40" s="255" t="s">
        <v>67</v>
      </c>
      <c r="E40" s="255" t="s">
        <v>1</v>
      </c>
      <c r="F40" s="256">
        <v>40</v>
      </c>
      <c r="G40" s="257">
        <v>1.81</v>
      </c>
      <c r="H40" s="258">
        <f t="shared" si="1"/>
        <v>72.400000000000006</v>
      </c>
    </row>
    <row r="41" spans="2:8">
      <c r="B41" s="675" t="s">
        <v>271</v>
      </c>
      <c r="C41" s="676"/>
      <c r="D41" s="676"/>
      <c r="E41" s="676"/>
      <c r="F41" s="676"/>
      <c r="G41" s="676"/>
      <c r="H41" s="261"/>
    </row>
    <row r="42" spans="2:8">
      <c r="B42" s="675" t="s">
        <v>272</v>
      </c>
      <c r="C42" s="676"/>
      <c r="D42" s="676"/>
      <c r="E42" s="676"/>
      <c r="F42" s="676"/>
      <c r="G42" s="676"/>
      <c r="H42" s="261"/>
    </row>
    <row r="43" spans="2:8">
      <c r="B43" s="675" t="s">
        <v>273</v>
      </c>
      <c r="C43" s="676"/>
      <c r="D43" s="676"/>
      <c r="E43" s="676"/>
      <c r="F43" s="676"/>
      <c r="G43" s="676"/>
      <c r="H43" s="262">
        <f>SUM(H34:H40)</f>
        <v>208.09</v>
      </c>
    </row>
    <row r="44" spans="2:8">
      <c r="B44" s="675" t="s">
        <v>274</v>
      </c>
      <c r="C44" s="676"/>
      <c r="D44" s="676"/>
      <c r="E44" s="676"/>
      <c r="F44" s="676"/>
      <c r="G44" s="676"/>
      <c r="H44" s="261">
        <v>23.54</v>
      </c>
    </row>
    <row r="45" spans="2:8">
      <c r="B45" s="675" t="s">
        <v>275</v>
      </c>
      <c r="C45" s="676"/>
      <c r="D45" s="676"/>
      <c r="E45" s="676"/>
      <c r="F45" s="676"/>
      <c r="G45" s="676"/>
      <c r="H45" s="261">
        <v>55.110000000223515</v>
      </c>
    </row>
    <row r="46" spans="2:8">
      <c r="B46" s="675" t="s">
        <v>276</v>
      </c>
      <c r="C46" s="676"/>
      <c r="D46" s="676"/>
      <c r="E46" s="676"/>
      <c r="F46" s="676"/>
      <c r="G46" s="676"/>
      <c r="H46" s="261">
        <v>0</v>
      </c>
    </row>
    <row r="47" spans="2:8">
      <c r="B47" s="675" t="s">
        <v>277</v>
      </c>
      <c r="C47" s="676"/>
      <c r="D47" s="676"/>
      <c r="E47" s="676"/>
      <c r="F47" s="676"/>
      <c r="G47" s="676"/>
      <c r="H47" s="261">
        <v>78.650000000000006</v>
      </c>
    </row>
    <row r="48" spans="2:8">
      <c r="B48" s="675" t="s">
        <v>278</v>
      </c>
      <c r="C48" s="676"/>
      <c r="D48" s="676"/>
      <c r="E48" s="676"/>
      <c r="F48" s="676"/>
      <c r="G48" s="676"/>
      <c r="H48" s="262">
        <f>ROUNDDOWN(H43+H47,2)</f>
        <v>286.74</v>
      </c>
    </row>
    <row r="49" spans="2:8">
      <c r="B49" s="675" t="s">
        <v>279</v>
      </c>
      <c r="C49" s="676"/>
      <c r="D49" s="676"/>
      <c r="E49" s="676"/>
      <c r="F49" s="676"/>
      <c r="G49" s="676"/>
      <c r="H49" s="261">
        <v>1</v>
      </c>
    </row>
    <row r="50" spans="2:8">
      <c r="B50" s="675" t="s">
        <v>280</v>
      </c>
      <c r="C50" s="676"/>
      <c r="D50" s="676"/>
      <c r="E50" s="676"/>
      <c r="F50" s="676"/>
      <c r="G50" s="676"/>
      <c r="H50" s="262">
        <f>ROUNDDOWN(H48*H49,2)</f>
        <v>286.74</v>
      </c>
    </row>
    <row r="51" spans="2:8">
      <c r="B51" s="677"/>
      <c r="C51" s="678"/>
      <c r="D51" s="678"/>
      <c r="E51" s="678"/>
      <c r="F51" s="678"/>
      <c r="G51" s="678"/>
      <c r="H51" s="679"/>
    </row>
    <row r="52" spans="2:8" ht="63.75">
      <c r="B52" s="247" t="s">
        <v>288</v>
      </c>
      <c r="C52" s="248" t="s">
        <v>289</v>
      </c>
      <c r="D52" s="249" t="s">
        <v>257</v>
      </c>
      <c r="E52" s="249" t="s">
        <v>290</v>
      </c>
      <c r="F52" s="250"/>
      <c r="G52" s="251"/>
      <c r="H52" s="252"/>
    </row>
    <row r="53" spans="2:8" ht="38.25">
      <c r="B53" s="253">
        <v>4509</v>
      </c>
      <c r="C53" s="254" t="s">
        <v>291</v>
      </c>
      <c r="D53" s="255" t="s">
        <v>67</v>
      </c>
      <c r="E53" s="255" t="s">
        <v>1</v>
      </c>
      <c r="F53" s="256">
        <v>1.3</v>
      </c>
      <c r="G53" s="257">
        <v>1.34</v>
      </c>
      <c r="H53" s="258">
        <f>G53*F53</f>
        <v>1.7420000000000002</v>
      </c>
    </row>
    <row r="54" spans="2:8" ht="38.25">
      <c r="B54" s="253">
        <v>1346</v>
      </c>
      <c r="C54" s="254" t="s">
        <v>292</v>
      </c>
      <c r="D54" s="255" t="s">
        <v>67</v>
      </c>
      <c r="E54" s="255" t="s">
        <v>9</v>
      </c>
      <c r="F54" s="256">
        <f>1*0.25</f>
        <v>0.25</v>
      </c>
      <c r="G54" s="257">
        <v>19.11</v>
      </c>
      <c r="H54" s="258">
        <f t="shared" ref="H54:H61" si="2">G54*F54</f>
        <v>4.7774999999999999</v>
      </c>
    </row>
    <row r="55" spans="2:8" ht="38.25">
      <c r="B55" s="253">
        <v>37411</v>
      </c>
      <c r="C55" s="254" t="s">
        <v>293</v>
      </c>
      <c r="D55" s="255" t="s">
        <v>67</v>
      </c>
      <c r="E55" s="255" t="s">
        <v>9</v>
      </c>
      <c r="F55" s="256">
        <f>1*0.25</f>
        <v>0.25</v>
      </c>
      <c r="G55" s="257">
        <v>12.97</v>
      </c>
      <c r="H55" s="258">
        <f t="shared" si="2"/>
        <v>3.2425000000000002</v>
      </c>
    </row>
    <row r="56" spans="2:8">
      <c r="B56" s="253">
        <v>5075</v>
      </c>
      <c r="C56" s="254" t="s">
        <v>294</v>
      </c>
      <c r="D56" s="255" t="s">
        <v>67</v>
      </c>
      <c r="E56" s="255" t="s">
        <v>12</v>
      </c>
      <c r="F56" s="256">
        <v>0.02</v>
      </c>
      <c r="G56" s="257">
        <v>9.76</v>
      </c>
      <c r="H56" s="258">
        <f t="shared" si="2"/>
        <v>0.19520000000000001</v>
      </c>
    </row>
    <row r="57" spans="2:8" ht="25.5">
      <c r="B57" s="253" t="s">
        <v>295</v>
      </c>
      <c r="C57" s="254" t="s">
        <v>296</v>
      </c>
      <c r="D57" s="255" t="s">
        <v>14</v>
      </c>
      <c r="E57" s="255" t="s">
        <v>15</v>
      </c>
      <c r="F57" s="256">
        <v>0.13</v>
      </c>
      <c r="G57" s="257">
        <v>17.71</v>
      </c>
      <c r="H57" s="258">
        <f t="shared" si="2"/>
        <v>2.3023000000000002</v>
      </c>
    </row>
    <row r="58" spans="2:8">
      <c r="B58" s="253" t="s">
        <v>297</v>
      </c>
      <c r="C58" s="254" t="s">
        <v>18</v>
      </c>
      <c r="D58" s="255" t="s">
        <v>14</v>
      </c>
      <c r="E58" s="255" t="s">
        <v>15</v>
      </c>
      <c r="F58" s="256">
        <v>0.3</v>
      </c>
      <c r="G58" s="257">
        <v>17.8</v>
      </c>
      <c r="H58" s="258">
        <f t="shared" si="2"/>
        <v>5.34</v>
      </c>
    </row>
    <row r="59" spans="2:8">
      <c r="B59" s="253" t="s">
        <v>269</v>
      </c>
      <c r="C59" s="254" t="s">
        <v>17</v>
      </c>
      <c r="D59" s="255" t="s">
        <v>14</v>
      </c>
      <c r="E59" s="255" t="s">
        <v>15</v>
      </c>
      <c r="F59" s="256">
        <v>0.45</v>
      </c>
      <c r="G59" s="257">
        <v>14.63</v>
      </c>
      <c r="H59" s="258">
        <f t="shared" si="2"/>
        <v>6.5835000000000008</v>
      </c>
    </row>
    <row r="60" spans="2:8" ht="38.25">
      <c r="B60" s="253" t="s">
        <v>298</v>
      </c>
      <c r="C60" s="254" t="s">
        <v>299</v>
      </c>
      <c r="D60" s="255" t="s">
        <v>14</v>
      </c>
      <c r="E60" s="255" t="s">
        <v>8</v>
      </c>
      <c r="F60" s="256">
        <v>1.6299999999999999E-2</v>
      </c>
      <c r="G60" s="257">
        <v>343.07</v>
      </c>
      <c r="H60" s="258">
        <f t="shared" si="2"/>
        <v>5.5920409999999992</v>
      </c>
    </row>
    <row r="61" spans="2:8" ht="63.75">
      <c r="B61" s="253">
        <v>87280</v>
      </c>
      <c r="C61" s="254" t="s">
        <v>300</v>
      </c>
      <c r="D61" s="255" t="s">
        <v>14</v>
      </c>
      <c r="E61" s="255" t="s">
        <v>8</v>
      </c>
      <c r="F61" s="256">
        <f>1*0.2*0.01</f>
        <v>2E-3</v>
      </c>
      <c r="G61" s="257">
        <v>322.14999999999998</v>
      </c>
      <c r="H61" s="258">
        <f t="shared" si="2"/>
        <v>0.64429999999999998</v>
      </c>
    </row>
    <row r="62" spans="2:8">
      <c r="B62" s="673" t="s">
        <v>271</v>
      </c>
      <c r="C62" s="674"/>
      <c r="D62" s="674"/>
      <c r="E62" s="674"/>
      <c r="F62" s="674"/>
      <c r="G62" s="674"/>
      <c r="H62" s="259"/>
    </row>
    <row r="63" spans="2:8">
      <c r="B63" s="673" t="s">
        <v>272</v>
      </c>
      <c r="C63" s="674"/>
      <c r="D63" s="674"/>
      <c r="E63" s="674"/>
      <c r="F63" s="674"/>
      <c r="G63" s="674"/>
      <c r="H63" s="259"/>
    </row>
    <row r="64" spans="2:8">
      <c r="B64" s="673" t="s">
        <v>273</v>
      </c>
      <c r="C64" s="674"/>
      <c r="D64" s="674"/>
      <c r="E64" s="674"/>
      <c r="F64" s="674"/>
      <c r="G64" s="674"/>
      <c r="H64" s="260">
        <f>SUM(H53:H61)</f>
        <v>30.419340999999999</v>
      </c>
    </row>
    <row r="65" spans="2:14">
      <c r="B65" s="673" t="s">
        <v>274</v>
      </c>
      <c r="C65" s="674"/>
      <c r="D65" s="674"/>
      <c r="E65" s="674"/>
      <c r="F65" s="674"/>
      <c r="G65" s="674"/>
      <c r="H65" s="259">
        <v>4.0999999999999996</v>
      </c>
    </row>
    <row r="66" spans="2:14">
      <c r="B66" s="673" t="s">
        <v>275</v>
      </c>
      <c r="C66" s="674"/>
      <c r="D66" s="674"/>
      <c r="E66" s="674"/>
      <c r="F66" s="674"/>
      <c r="G66" s="674"/>
      <c r="H66" s="259">
        <v>9.5400000000000009</v>
      </c>
    </row>
    <row r="67" spans="2:14">
      <c r="B67" s="673" t="s">
        <v>276</v>
      </c>
      <c r="C67" s="674"/>
      <c r="D67" s="674"/>
      <c r="E67" s="674"/>
      <c r="F67" s="674"/>
      <c r="G67" s="674"/>
      <c r="H67" s="259">
        <v>0</v>
      </c>
    </row>
    <row r="68" spans="2:14">
      <c r="B68" s="673" t="s">
        <v>277</v>
      </c>
      <c r="C68" s="674"/>
      <c r="D68" s="674"/>
      <c r="E68" s="674"/>
      <c r="F68" s="674"/>
      <c r="G68" s="674"/>
      <c r="H68" s="259">
        <v>13.64</v>
      </c>
    </row>
    <row r="69" spans="2:14">
      <c r="B69" s="673" t="s">
        <v>278</v>
      </c>
      <c r="C69" s="674"/>
      <c r="D69" s="674"/>
      <c r="E69" s="674"/>
      <c r="F69" s="674"/>
      <c r="G69" s="674"/>
      <c r="H69" s="260">
        <f>ROUNDDOWN(H64+H68,2)</f>
        <v>44.05</v>
      </c>
    </row>
    <row r="70" spans="2:14">
      <c r="B70" s="673" t="s">
        <v>279</v>
      </c>
      <c r="C70" s="674"/>
      <c r="D70" s="674"/>
      <c r="E70" s="674"/>
      <c r="F70" s="674"/>
      <c r="G70" s="674"/>
      <c r="H70" s="259">
        <v>254.41</v>
      </c>
    </row>
    <row r="71" spans="2:14">
      <c r="B71" s="673" t="s">
        <v>280</v>
      </c>
      <c r="C71" s="674"/>
      <c r="D71" s="674"/>
      <c r="E71" s="674"/>
      <c r="F71" s="674"/>
      <c r="G71" s="674"/>
      <c r="H71" s="260">
        <f>ROUNDDOWN(H69*H70,2)</f>
        <v>11206.76</v>
      </c>
    </row>
    <row r="72" spans="2:14" ht="38.25">
      <c r="B72" s="247" t="s">
        <v>142</v>
      </c>
      <c r="C72" s="248" t="s">
        <v>227</v>
      </c>
      <c r="D72" s="249" t="s">
        <v>257</v>
      </c>
      <c r="E72" s="249" t="s">
        <v>0</v>
      </c>
      <c r="F72" s="250"/>
      <c r="G72" s="251"/>
      <c r="H72" s="252"/>
    </row>
    <row r="73" spans="2:14" ht="25.5">
      <c r="B73" s="253">
        <v>4777</v>
      </c>
      <c r="C73" s="254" t="s">
        <v>301</v>
      </c>
      <c r="D73" s="255" t="s">
        <v>302</v>
      </c>
      <c r="E73" s="255" t="s">
        <v>12</v>
      </c>
      <c r="F73" s="256">
        <f>12.5*2*M73</f>
        <v>87</v>
      </c>
      <c r="G73" s="257">
        <v>3.98</v>
      </c>
      <c r="H73" s="258">
        <f>F73*G73</f>
        <v>346.26</v>
      </c>
      <c r="L73" s="178" t="s">
        <v>303</v>
      </c>
      <c r="M73" s="178">
        <v>3.48</v>
      </c>
      <c r="N73" s="178" t="s">
        <v>304</v>
      </c>
    </row>
    <row r="74" spans="2:14" ht="25.5">
      <c r="B74" s="253" t="s">
        <v>305</v>
      </c>
      <c r="C74" s="254" t="s">
        <v>306</v>
      </c>
      <c r="D74" s="255" t="s">
        <v>302</v>
      </c>
      <c r="E74" s="255" t="s">
        <v>1</v>
      </c>
      <c r="F74" s="256">
        <f>(1+1.9+1+1.9)*6</f>
        <v>34.799999999999997</v>
      </c>
      <c r="G74" s="257">
        <v>14.64</v>
      </c>
      <c r="H74" s="258">
        <f t="shared" ref="H74:H85" si="3">F74*G74</f>
        <v>509.47199999999998</v>
      </c>
      <c r="M74" s="178" t="s">
        <v>307</v>
      </c>
    </row>
    <row r="75" spans="2:14" ht="25.5">
      <c r="B75" s="253" t="s">
        <v>308</v>
      </c>
      <c r="C75" s="254" t="s">
        <v>309</v>
      </c>
      <c r="D75" s="255" t="s">
        <v>302</v>
      </c>
      <c r="E75" s="255" t="s">
        <v>1</v>
      </c>
      <c r="F75" s="256">
        <f>(6+6+6+2.2+2.2+2.2+2.2)*2+(0.5+0.5+0.5+0.5+6+1.15+1.15+1.15+1.15)</f>
        <v>66.199999999999989</v>
      </c>
      <c r="G75" s="257">
        <v>22.52</v>
      </c>
      <c r="H75" s="258">
        <f t="shared" si="3"/>
        <v>1490.8239999999996</v>
      </c>
      <c r="L75" s="178" t="s">
        <v>310</v>
      </c>
      <c r="M75" s="178">
        <v>7</v>
      </c>
      <c r="N75" s="178" t="s">
        <v>311</v>
      </c>
    </row>
    <row r="76" spans="2:14" ht="38.25">
      <c r="B76" s="253">
        <v>10927</v>
      </c>
      <c r="C76" s="254" t="s">
        <v>312</v>
      </c>
      <c r="D76" s="255" t="s">
        <v>302</v>
      </c>
      <c r="E76" s="255" t="s">
        <v>9</v>
      </c>
      <c r="F76" s="256">
        <f>1*1.9*6*1.1</f>
        <v>12.54</v>
      </c>
      <c r="G76" s="257">
        <v>17.91</v>
      </c>
      <c r="H76" s="258">
        <f t="shared" si="3"/>
        <v>224.59139999999999</v>
      </c>
      <c r="L76" s="178" t="s">
        <v>313</v>
      </c>
      <c r="M76" s="178">
        <v>4.5</v>
      </c>
      <c r="N76" s="178" t="s">
        <v>311</v>
      </c>
    </row>
    <row r="77" spans="2:14" ht="38.25">
      <c r="B77" s="253">
        <v>72183</v>
      </c>
      <c r="C77" s="254" t="s">
        <v>314</v>
      </c>
      <c r="D77" s="255" t="s">
        <v>315</v>
      </c>
      <c r="E77" s="255" t="s">
        <v>9</v>
      </c>
      <c r="F77" s="256">
        <f>12.5*0.85</f>
        <v>10.625</v>
      </c>
      <c r="G77" s="257">
        <v>80.45</v>
      </c>
      <c r="H77" s="258">
        <f t="shared" si="3"/>
        <v>854.78125</v>
      </c>
      <c r="L77" s="178" t="s">
        <v>316</v>
      </c>
      <c r="M77" s="178">
        <v>11.5</v>
      </c>
      <c r="N77" s="178" t="s">
        <v>311</v>
      </c>
    </row>
    <row r="78" spans="2:14" ht="51">
      <c r="B78" s="253">
        <v>38179</v>
      </c>
      <c r="C78" s="254" t="s">
        <v>317</v>
      </c>
      <c r="D78" s="255" t="s">
        <v>302</v>
      </c>
      <c r="E78" s="255" t="s">
        <v>10</v>
      </c>
      <c r="F78" s="256">
        <v>8</v>
      </c>
      <c r="G78" s="257">
        <v>25.1</v>
      </c>
      <c r="H78" s="258">
        <f t="shared" si="3"/>
        <v>200.8</v>
      </c>
    </row>
    <row r="79" spans="2:14" ht="51">
      <c r="B79" s="253">
        <v>98764</v>
      </c>
      <c r="C79" s="254" t="s">
        <v>318</v>
      </c>
      <c r="D79" s="255" t="s">
        <v>315</v>
      </c>
      <c r="E79" s="255" t="s">
        <v>28</v>
      </c>
      <c r="F79" s="256">
        <f>6*2.2*3.82*0.7</f>
        <v>35.296799999999998</v>
      </c>
      <c r="G79" s="257">
        <v>4.2</v>
      </c>
      <c r="H79" s="258">
        <f t="shared" si="3"/>
        <v>148.24655999999999</v>
      </c>
      <c r="L79" s="178" t="s">
        <v>319</v>
      </c>
      <c r="M79" s="178">
        <v>3.82</v>
      </c>
      <c r="N79" s="178" t="s">
        <v>311</v>
      </c>
    </row>
    <row r="80" spans="2:14" ht="51">
      <c r="B80" s="253">
        <v>98765</v>
      </c>
      <c r="C80" s="254" t="s">
        <v>320</v>
      </c>
      <c r="D80" s="255" t="s">
        <v>315</v>
      </c>
      <c r="E80" s="255" t="s">
        <v>29</v>
      </c>
      <c r="F80" s="256">
        <f>6*2.2*0.67*0.7</f>
        <v>6.1908000000000003</v>
      </c>
      <c r="G80" s="257">
        <v>0.06</v>
      </c>
      <c r="H80" s="258">
        <f t="shared" si="3"/>
        <v>0.371448</v>
      </c>
      <c r="L80" s="178" t="s">
        <v>319</v>
      </c>
      <c r="M80" s="178">
        <v>0.67</v>
      </c>
      <c r="N80" s="178" t="s">
        <v>311</v>
      </c>
    </row>
    <row r="81" spans="2:8" ht="25.5">
      <c r="B81" s="253" t="s">
        <v>321</v>
      </c>
      <c r="C81" s="254" t="s">
        <v>322</v>
      </c>
      <c r="D81" s="255" t="s">
        <v>302</v>
      </c>
      <c r="E81" s="255" t="s">
        <v>12</v>
      </c>
      <c r="F81" s="256">
        <f>6*2.2*3.37*0.7</f>
        <v>31.1388</v>
      </c>
      <c r="G81" s="257">
        <v>14.45</v>
      </c>
      <c r="H81" s="258">
        <f t="shared" si="3"/>
        <v>449.95565999999997</v>
      </c>
    </row>
    <row r="82" spans="2:8">
      <c r="B82" s="253" t="s">
        <v>101</v>
      </c>
      <c r="C82" s="254" t="s">
        <v>18</v>
      </c>
      <c r="D82" s="255" t="s">
        <v>323</v>
      </c>
      <c r="E82" s="255" t="s">
        <v>15</v>
      </c>
      <c r="F82" s="256">
        <v>8.3000000000000007</v>
      </c>
      <c r="G82" s="257">
        <v>17.8</v>
      </c>
      <c r="H82" s="258">
        <f t="shared" si="3"/>
        <v>147.74</v>
      </c>
    </row>
    <row r="83" spans="2:8">
      <c r="B83" s="253">
        <v>88316</v>
      </c>
      <c r="C83" s="254" t="s">
        <v>17</v>
      </c>
      <c r="D83" s="255" t="s">
        <v>323</v>
      </c>
      <c r="E83" s="255" t="s">
        <v>15</v>
      </c>
      <c r="F83" s="256">
        <f>6*2.2*M77*0.65</f>
        <v>98.670000000000016</v>
      </c>
      <c r="G83" s="257">
        <v>14.63</v>
      </c>
      <c r="H83" s="258">
        <f t="shared" si="3"/>
        <v>1443.5421000000003</v>
      </c>
    </row>
    <row r="84" spans="2:8" ht="25.5">
      <c r="B84" s="253">
        <v>88317</v>
      </c>
      <c r="C84" s="254" t="s">
        <v>324</v>
      </c>
      <c r="D84" s="255" t="s">
        <v>323</v>
      </c>
      <c r="E84" s="255" t="s">
        <v>15</v>
      </c>
      <c r="F84" s="256">
        <f>6*2.2*M76*0.65</f>
        <v>38.610000000000007</v>
      </c>
      <c r="G84" s="257">
        <v>20.53</v>
      </c>
      <c r="H84" s="258">
        <f t="shared" si="3"/>
        <v>792.66330000000016</v>
      </c>
    </row>
    <row r="85" spans="2:8" ht="25.5">
      <c r="B85" s="253">
        <v>88315</v>
      </c>
      <c r="C85" s="254" t="s">
        <v>325</v>
      </c>
      <c r="D85" s="255" t="s">
        <v>323</v>
      </c>
      <c r="E85" s="255" t="s">
        <v>15</v>
      </c>
      <c r="F85" s="256">
        <f>6*2.2*M75*0.65</f>
        <v>60.06</v>
      </c>
      <c r="G85" s="257">
        <v>17.71</v>
      </c>
      <c r="H85" s="258">
        <f t="shared" si="3"/>
        <v>1063.6626000000001</v>
      </c>
    </row>
    <row r="86" spans="2:8">
      <c r="B86" s="673" t="s">
        <v>271</v>
      </c>
      <c r="C86" s="674"/>
      <c r="D86" s="674"/>
      <c r="E86" s="674"/>
      <c r="F86" s="674"/>
      <c r="G86" s="674"/>
      <c r="H86" s="259"/>
    </row>
    <row r="87" spans="2:8">
      <c r="B87" s="673" t="s">
        <v>272</v>
      </c>
      <c r="C87" s="674"/>
      <c r="D87" s="674"/>
      <c r="E87" s="674"/>
      <c r="F87" s="674"/>
      <c r="G87" s="674"/>
      <c r="H87" s="259"/>
    </row>
    <row r="88" spans="2:8">
      <c r="B88" s="673" t="s">
        <v>273</v>
      </c>
      <c r="C88" s="674"/>
      <c r="D88" s="674"/>
      <c r="E88" s="674"/>
      <c r="F88" s="674"/>
      <c r="G88" s="674"/>
      <c r="H88" s="260">
        <f>SUM(H73:H85)</f>
        <v>7672.9103180000002</v>
      </c>
    </row>
    <row r="89" spans="2:8">
      <c r="B89" s="673" t="s">
        <v>274</v>
      </c>
      <c r="C89" s="674"/>
      <c r="D89" s="674"/>
      <c r="E89" s="674"/>
      <c r="F89" s="674"/>
      <c r="G89" s="674"/>
      <c r="H89" s="259">
        <v>4.0999999999999996</v>
      </c>
    </row>
    <row r="90" spans="2:8">
      <c r="B90" s="673" t="s">
        <v>275</v>
      </c>
      <c r="C90" s="674"/>
      <c r="D90" s="674"/>
      <c r="E90" s="674"/>
      <c r="F90" s="674"/>
      <c r="G90" s="674"/>
      <c r="H90" s="259">
        <v>9.5400000000000009</v>
      </c>
    </row>
    <row r="91" spans="2:8">
      <c r="B91" s="673" t="s">
        <v>276</v>
      </c>
      <c r="C91" s="674"/>
      <c r="D91" s="674"/>
      <c r="E91" s="674"/>
      <c r="F91" s="674"/>
      <c r="G91" s="674"/>
      <c r="H91" s="259">
        <v>0</v>
      </c>
    </row>
    <row r="92" spans="2:8">
      <c r="B92" s="673" t="s">
        <v>277</v>
      </c>
      <c r="C92" s="674"/>
      <c r="D92" s="674"/>
      <c r="E92" s="674"/>
      <c r="F92" s="674"/>
      <c r="G92" s="674"/>
      <c r="H92" s="259">
        <v>13.64</v>
      </c>
    </row>
    <row r="93" spans="2:8">
      <c r="B93" s="673" t="s">
        <v>278</v>
      </c>
      <c r="C93" s="674"/>
      <c r="D93" s="674"/>
      <c r="E93" s="674"/>
      <c r="F93" s="674"/>
      <c r="G93" s="674"/>
      <c r="H93" s="260">
        <f>ROUNDDOWN(H88+H92,2)</f>
        <v>7686.55</v>
      </c>
    </row>
    <row r="94" spans="2:8">
      <c r="B94" s="673" t="s">
        <v>279</v>
      </c>
      <c r="C94" s="674"/>
      <c r="D94" s="674"/>
      <c r="E94" s="674"/>
      <c r="F94" s="674"/>
      <c r="G94" s="674"/>
      <c r="H94" s="259">
        <v>254.41</v>
      </c>
    </row>
    <row r="95" spans="2:8">
      <c r="B95" s="673" t="s">
        <v>280</v>
      </c>
      <c r="C95" s="674"/>
      <c r="D95" s="674"/>
      <c r="E95" s="674"/>
      <c r="F95" s="674"/>
      <c r="G95" s="674"/>
      <c r="H95" s="260">
        <f>ROUNDDOWN(H93*H94,2)</f>
        <v>1955535.18</v>
      </c>
    </row>
    <row r="96" spans="2:8">
      <c r="B96" s="263"/>
      <c r="C96" s="264"/>
      <c r="D96" s="264"/>
      <c r="E96" s="264"/>
      <c r="F96" s="264"/>
      <c r="G96" s="264"/>
      <c r="H96" s="260"/>
    </row>
    <row r="97" spans="2:14" ht="38.25">
      <c r="B97" s="247" t="s">
        <v>142</v>
      </c>
      <c r="C97" s="248" t="s">
        <v>228</v>
      </c>
      <c r="D97" s="249" t="s">
        <v>257</v>
      </c>
      <c r="E97" s="249" t="s">
        <v>0</v>
      </c>
      <c r="F97" s="250"/>
      <c r="G97" s="251"/>
      <c r="H97" s="252"/>
    </row>
    <row r="98" spans="2:14" ht="25.5">
      <c r="B98" s="253" t="s">
        <v>305</v>
      </c>
      <c r="C98" s="254" t="s">
        <v>306</v>
      </c>
      <c r="D98" s="255" t="s">
        <v>302</v>
      </c>
      <c r="E98" s="255" t="s">
        <v>1</v>
      </c>
      <c r="F98" s="256">
        <f>(0.75+0.9+0.75+0.9)*2</f>
        <v>6.6</v>
      </c>
      <c r="G98" s="257">
        <v>14.64</v>
      </c>
      <c r="H98" s="258">
        <f t="shared" ref="H98:H109" si="4">F98*G98</f>
        <v>96.623999999999995</v>
      </c>
      <c r="M98" s="178" t="s">
        <v>307</v>
      </c>
    </row>
    <row r="99" spans="2:14" ht="25.5">
      <c r="B99" s="253" t="s">
        <v>308</v>
      </c>
      <c r="C99" s="254" t="s">
        <v>309</v>
      </c>
      <c r="D99" s="255" t="s">
        <v>302</v>
      </c>
      <c r="E99" s="255" t="s">
        <v>1</v>
      </c>
      <c r="F99" s="256">
        <f>(1+1+2.1+1+2.1+2.1+2.1)*2</f>
        <v>22.799999999999997</v>
      </c>
      <c r="G99" s="257">
        <v>22.52</v>
      </c>
      <c r="H99" s="258">
        <f t="shared" si="4"/>
        <v>513.4559999999999</v>
      </c>
      <c r="L99" s="178" t="s">
        <v>310</v>
      </c>
      <c r="M99" s="178">
        <v>7</v>
      </c>
      <c r="N99" s="178" t="s">
        <v>311</v>
      </c>
    </row>
    <row r="100" spans="2:14" ht="38.25">
      <c r="B100" s="253">
        <v>10927</v>
      </c>
      <c r="C100" s="254" t="s">
        <v>312</v>
      </c>
      <c r="D100" s="255" t="s">
        <v>302</v>
      </c>
      <c r="E100" s="255" t="s">
        <v>9</v>
      </c>
      <c r="F100" s="256">
        <f>0.75*0.9*2</f>
        <v>1.35</v>
      </c>
      <c r="G100" s="257">
        <v>17.91</v>
      </c>
      <c r="H100" s="258">
        <f t="shared" si="4"/>
        <v>24.178500000000003</v>
      </c>
      <c r="L100" s="178" t="s">
        <v>313</v>
      </c>
      <c r="M100" s="178">
        <v>4.5</v>
      </c>
      <c r="N100" s="178" t="s">
        <v>311</v>
      </c>
    </row>
    <row r="101" spans="2:14" ht="25.5">
      <c r="B101" s="253">
        <v>5088</v>
      </c>
      <c r="C101" s="254" t="s">
        <v>326</v>
      </c>
      <c r="D101" s="255"/>
      <c r="E101" s="255" t="s">
        <v>10</v>
      </c>
      <c r="F101" s="256">
        <v>1</v>
      </c>
      <c r="G101" s="257">
        <v>2.27</v>
      </c>
      <c r="H101" s="258">
        <f t="shared" si="4"/>
        <v>2.27</v>
      </c>
      <c r="L101" s="178" t="s">
        <v>316</v>
      </c>
      <c r="M101" s="178">
        <v>11.5</v>
      </c>
      <c r="N101" s="178" t="s">
        <v>311</v>
      </c>
    </row>
    <row r="102" spans="2:14" ht="38.25">
      <c r="B102" s="253">
        <v>2432</v>
      </c>
      <c r="C102" s="254" t="s">
        <v>327</v>
      </c>
      <c r="D102" s="255" t="s">
        <v>302</v>
      </c>
      <c r="E102" s="255" t="s">
        <v>10</v>
      </c>
      <c r="F102" s="256">
        <v>3</v>
      </c>
      <c r="G102" s="257">
        <v>38.869999999999997</v>
      </c>
      <c r="H102" s="258">
        <f t="shared" si="4"/>
        <v>116.60999999999999</v>
      </c>
    </row>
    <row r="103" spans="2:14" ht="51">
      <c r="B103" s="253">
        <v>98764</v>
      </c>
      <c r="C103" s="254" t="s">
        <v>318</v>
      </c>
      <c r="D103" s="255" t="s">
        <v>315</v>
      </c>
      <c r="E103" s="255" t="s">
        <v>28</v>
      </c>
      <c r="F103" s="256">
        <f>1*2.1*3.82*0.7</f>
        <v>5.6154000000000002</v>
      </c>
      <c r="G103" s="257">
        <v>4.2</v>
      </c>
      <c r="H103" s="258">
        <f t="shared" si="4"/>
        <v>23.584680000000002</v>
      </c>
      <c r="L103" s="178" t="s">
        <v>319</v>
      </c>
      <c r="M103" s="178">
        <v>3.82</v>
      </c>
      <c r="N103" s="178" t="s">
        <v>311</v>
      </c>
    </row>
    <row r="104" spans="2:14" ht="51">
      <c r="B104" s="253">
        <v>98765</v>
      </c>
      <c r="C104" s="254" t="s">
        <v>320</v>
      </c>
      <c r="D104" s="255" t="s">
        <v>315</v>
      </c>
      <c r="E104" s="255" t="s">
        <v>29</v>
      </c>
      <c r="F104" s="256">
        <f>1*2.1*0.67*0.7</f>
        <v>0.98490000000000011</v>
      </c>
      <c r="G104" s="257">
        <v>0.06</v>
      </c>
      <c r="H104" s="258">
        <f t="shared" si="4"/>
        <v>5.9094000000000008E-2</v>
      </c>
      <c r="L104" s="178" t="s">
        <v>319</v>
      </c>
      <c r="M104" s="178">
        <v>0.67</v>
      </c>
      <c r="N104" s="178" t="s">
        <v>311</v>
      </c>
    </row>
    <row r="105" spans="2:14" ht="25.5">
      <c r="B105" s="253" t="s">
        <v>321</v>
      </c>
      <c r="C105" s="254" t="s">
        <v>322</v>
      </c>
      <c r="D105" s="255" t="s">
        <v>302</v>
      </c>
      <c r="E105" s="255" t="s">
        <v>12</v>
      </c>
      <c r="F105" s="256">
        <f>1*2.1*3.37*0.7</f>
        <v>4.9539</v>
      </c>
      <c r="G105" s="257">
        <v>14.45</v>
      </c>
      <c r="H105" s="258">
        <f t="shared" si="4"/>
        <v>71.583855</v>
      </c>
    </row>
    <row r="106" spans="2:14">
      <c r="B106" s="253" t="s">
        <v>101</v>
      </c>
      <c r="C106" s="254" t="s">
        <v>18</v>
      </c>
      <c r="D106" s="255" t="s">
        <v>323</v>
      </c>
      <c r="E106" s="255" t="s">
        <v>15</v>
      </c>
      <c r="F106" s="256">
        <v>2.2999999999999998</v>
      </c>
      <c r="G106" s="257">
        <v>17.8</v>
      </c>
      <c r="H106" s="258">
        <f t="shared" si="4"/>
        <v>40.94</v>
      </c>
    </row>
    <row r="107" spans="2:14">
      <c r="B107" s="253">
        <v>88316</v>
      </c>
      <c r="C107" s="254" t="s">
        <v>17</v>
      </c>
      <c r="D107" s="255" t="s">
        <v>323</v>
      </c>
      <c r="E107" s="255" t="s">
        <v>15</v>
      </c>
      <c r="F107" s="256">
        <f>1*2.1*M101*0.65</f>
        <v>15.697500000000002</v>
      </c>
      <c r="G107" s="257">
        <v>14.63</v>
      </c>
      <c r="H107" s="258">
        <f t="shared" si="4"/>
        <v>229.65442500000003</v>
      </c>
    </row>
    <row r="108" spans="2:14" ht="25.5">
      <c r="B108" s="253">
        <v>88317</v>
      </c>
      <c r="C108" s="254" t="s">
        <v>324</v>
      </c>
      <c r="D108" s="255" t="s">
        <v>323</v>
      </c>
      <c r="E108" s="255" t="s">
        <v>15</v>
      </c>
      <c r="F108" s="256">
        <f>1*2.1*M100*0.65</f>
        <v>6.142500000000001</v>
      </c>
      <c r="G108" s="257">
        <v>20.53</v>
      </c>
      <c r="H108" s="258">
        <f t="shared" si="4"/>
        <v>126.10552500000003</v>
      </c>
    </row>
    <row r="109" spans="2:14" ht="25.5">
      <c r="B109" s="253">
        <v>88315</v>
      </c>
      <c r="C109" s="254" t="s">
        <v>325</v>
      </c>
      <c r="D109" s="255" t="s">
        <v>323</v>
      </c>
      <c r="E109" s="255" t="s">
        <v>15</v>
      </c>
      <c r="F109" s="256">
        <f>1*2.1*M99*0.65</f>
        <v>9.5550000000000015</v>
      </c>
      <c r="G109" s="257">
        <v>17.71</v>
      </c>
      <c r="H109" s="258">
        <f t="shared" si="4"/>
        <v>169.21905000000004</v>
      </c>
    </row>
    <row r="110" spans="2:14">
      <c r="B110" s="673" t="s">
        <v>271</v>
      </c>
      <c r="C110" s="674"/>
      <c r="D110" s="674"/>
      <c r="E110" s="674"/>
      <c r="F110" s="674"/>
      <c r="G110" s="674"/>
      <c r="H110" s="259"/>
    </row>
    <row r="111" spans="2:14">
      <c r="B111" s="673" t="s">
        <v>272</v>
      </c>
      <c r="C111" s="674"/>
      <c r="D111" s="674"/>
      <c r="E111" s="674"/>
      <c r="F111" s="674"/>
      <c r="G111" s="674"/>
      <c r="H111" s="259"/>
    </row>
    <row r="112" spans="2:14">
      <c r="B112" s="673" t="s">
        <v>273</v>
      </c>
      <c r="C112" s="674"/>
      <c r="D112" s="674"/>
      <c r="E112" s="674"/>
      <c r="F112" s="674"/>
      <c r="G112" s="674"/>
      <c r="H112" s="260">
        <f>SUM(H98:H109)</f>
        <v>1414.2851289999999</v>
      </c>
    </row>
    <row r="113" spans="2:10">
      <c r="B113" s="673" t="s">
        <v>274</v>
      </c>
      <c r="C113" s="674"/>
      <c r="D113" s="674"/>
      <c r="E113" s="674"/>
      <c r="F113" s="674"/>
      <c r="G113" s="674"/>
      <c r="H113" s="259">
        <v>4.0999999999999996</v>
      </c>
    </row>
    <row r="114" spans="2:10">
      <c r="B114" s="673" t="s">
        <v>275</v>
      </c>
      <c r="C114" s="674"/>
      <c r="D114" s="674"/>
      <c r="E114" s="674"/>
      <c r="F114" s="674"/>
      <c r="G114" s="674"/>
      <c r="H114" s="259">
        <v>9.5400000000000009</v>
      </c>
    </row>
    <row r="115" spans="2:10">
      <c r="B115" s="673" t="s">
        <v>276</v>
      </c>
      <c r="C115" s="674"/>
      <c r="D115" s="674"/>
      <c r="E115" s="674"/>
      <c r="F115" s="674"/>
      <c r="G115" s="674"/>
      <c r="H115" s="259">
        <v>0</v>
      </c>
    </row>
    <row r="116" spans="2:10">
      <c r="B116" s="673" t="s">
        <v>277</v>
      </c>
      <c r="C116" s="674"/>
      <c r="D116" s="674"/>
      <c r="E116" s="674"/>
      <c r="F116" s="674"/>
      <c r="G116" s="674"/>
      <c r="H116" s="259">
        <v>13.64</v>
      </c>
    </row>
    <row r="117" spans="2:10">
      <c r="B117" s="673" t="s">
        <v>278</v>
      </c>
      <c r="C117" s="674"/>
      <c r="D117" s="674"/>
      <c r="E117" s="674"/>
      <c r="F117" s="674"/>
      <c r="G117" s="674"/>
      <c r="H117" s="260">
        <f>ROUNDDOWN(H112+H116,2)</f>
        <v>1427.92</v>
      </c>
    </row>
    <row r="118" spans="2:10">
      <c r="B118" s="673" t="s">
        <v>279</v>
      </c>
      <c r="C118" s="674"/>
      <c r="D118" s="674"/>
      <c r="E118" s="674"/>
      <c r="F118" s="674"/>
      <c r="G118" s="674"/>
      <c r="H118" s="259">
        <v>254.41</v>
      </c>
    </row>
    <row r="119" spans="2:10">
      <c r="B119" s="673" t="s">
        <v>280</v>
      </c>
      <c r="C119" s="674"/>
      <c r="D119" s="674"/>
      <c r="E119" s="674"/>
      <c r="F119" s="674"/>
      <c r="G119" s="674"/>
      <c r="H119" s="260">
        <f>ROUNDDOWN(H117*H118,2)</f>
        <v>363277.12</v>
      </c>
    </row>
    <row r="120" spans="2:10">
      <c r="B120" s="680"/>
      <c r="C120" s="681"/>
      <c r="D120" s="681"/>
      <c r="E120" s="681"/>
      <c r="F120" s="681"/>
      <c r="G120" s="681"/>
      <c r="H120" s="682"/>
    </row>
    <row r="121" spans="2:10" ht="51">
      <c r="B121" s="247" t="s">
        <v>142</v>
      </c>
      <c r="C121" s="248" t="s">
        <v>224</v>
      </c>
      <c r="D121" s="249" t="s">
        <v>257</v>
      </c>
      <c r="E121" s="249" t="s">
        <v>1</v>
      </c>
      <c r="F121" s="250"/>
      <c r="G121" s="251"/>
      <c r="H121" s="252"/>
      <c r="J121" s="178" t="s">
        <v>328</v>
      </c>
    </row>
    <row r="122" spans="2:10" ht="25.5">
      <c r="B122" s="253">
        <v>3267</v>
      </c>
      <c r="C122" s="254" t="s">
        <v>329</v>
      </c>
      <c r="D122" s="255" t="s">
        <v>67</v>
      </c>
      <c r="E122" s="255" t="s">
        <v>10</v>
      </c>
      <c r="F122" s="256">
        <v>0.05</v>
      </c>
      <c r="G122" s="257">
        <v>0.35</v>
      </c>
      <c r="H122" s="258">
        <f t="shared" ref="H122:H127" si="5">F122*G122</f>
        <v>1.7499999999999998E-2</v>
      </c>
    </row>
    <row r="123" spans="2:10" ht="38.25">
      <c r="B123" s="253">
        <v>3408</v>
      </c>
      <c r="C123" s="254" t="s">
        <v>330</v>
      </c>
      <c r="D123" s="255" t="s">
        <v>67</v>
      </c>
      <c r="E123" s="255" t="s">
        <v>331</v>
      </c>
      <c r="F123" s="256">
        <f>0.1*1.1</f>
        <v>0.11000000000000001</v>
      </c>
      <c r="G123" s="257">
        <v>7.37</v>
      </c>
      <c r="H123" s="258">
        <f t="shared" si="5"/>
        <v>0.81070000000000009</v>
      </c>
    </row>
    <row r="124" spans="2:10">
      <c r="B124" s="253">
        <v>11849</v>
      </c>
      <c r="C124" s="254" t="s">
        <v>332</v>
      </c>
      <c r="D124" s="255" t="s">
        <v>67</v>
      </c>
      <c r="E124" s="255" t="s">
        <v>333</v>
      </c>
      <c r="F124" s="256">
        <v>6.2420000000000003E-2</v>
      </c>
      <c r="G124" s="257">
        <v>9.4600000000000009</v>
      </c>
      <c r="H124" s="258">
        <f t="shared" si="5"/>
        <v>0.59049320000000005</v>
      </c>
    </row>
    <row r="125" spans="2:10" ht="38.25">
      <c r="B125" s="253">
        <v>142</v>
      </c>
      <c r="C125" s="254" t="s">
        <v>334</v>
      </c>
      <c r="D125" s="255" t="s">
        <v>67</v>
      </c>
      <c r="E125" s="255" t="s">
        <v>335</v>
      </c>
      <c r="F125" s="256">
        <v>0.66666999999999998</v>
      </c>
      <c r="G125" s="257">
        <v>32.29</v>
      </c>
      <c r="H125" s="258">
        <f t="shared" si="5"/>
        <v>21.5267743</v>
      </c>
    </row>
    <row r="126" spans="2:10">
      <c r="B126" s="253">
        <v>88310</v>
      </c>
      <c r="C126" s="254" t="s">
        <v>18</v>
      </c>
      <c r="D126" s="255" t="s">
        <v>14</v>
      </c>
      <c r="E126" s="255" t="s">
        <v>15</v>
      </c>
      <c r="F126" s="256">
        <v>5.6300000000000003E-2</v>
      </c>
      <c r="G126" s="257">
        <v>17.8</v>
      </c>
      <c r="H126" s="258">
        <f t="shared" si="5"/>
        <v>1.00214</v>
      </c>
    </row>
    <row r="127" spans="2:10" ht="25.5">
      <c r="B127" s="253">
        <v>88316</v>
      </c>
      <c r="C127" s="254" t="s">
        <v>82</v>
      </c>
      <c r="D127" s="255" t="s">
        <v>14</v>
      </c>
      <c r="E127" s="255" t="s">
        <v>15</v>
      </c>
      <c r="F127" s="256">
        <v>5.5800000000000002E-2</v>
      </c>
      <c r="G127" s="257">
        <v>14.63</v>
      </c>
      <c r="H127" s="258">
        <f t="shared" si="5"/>
        <v>0.81635400000000002</v>
      </c>
    </row>
    <row r="128" spans="2:10">
      <c r="B128" s="675" t="s">
        <v>271</v>
      </c>
      <c r="C128" s="676"/>
      <c r="D128" s="676"/>
      <c r="E128" s="676"/>
      <c r="F128" s="676"/>
      <c r="G128" s="676"/>
      <c r="H128" s="261"/>
    </row>
    <row r="129" spans="2:8">
      <c r="B129" s="675" t="s">
        <v>272</v>
      </c>
      <c r="C129" s="676"/>
      <c r="D129" s="676"/>
      <c r="E129" s="676"/>
      <c r="F129" s="676"/>
      <c r="G129" s="676"/>
      <c r="H129" s="261"/>
    </row>
    <row r="130" spans="2:8">
      <c r="B130" s="675" t="s">
        <v>273</v>
      </c>
      <c r="C130" s="676"/>
      <c r="D130" s="676"/>
      <c r="E130" s="676"/>
      <c r="F130" s="676"/>
      <c r="G130" s="676"/>
      <c r="H130" s="262">
        <f>SUM(H122:H127)</f>
        <v>24.763961500000001</v>
      </c>
    </row>
    <row r="131" spans="2:8">
      <c r="B131" s="675" t="s">
        <v>274</v>
      </c>
      <c r="C131" s="676"/>
      <c r="D131" s="676"/>
      <c r="E131" s="676"/>
      <c r="F131" s="676"/>
      <c r="G131" s="676"/>
      <c r="H131" s="261">
        <v>1.38</v>
      </c>
    </row>
    <row r="132" spans="2:8">
      <c r="B132" s="675" t="s">
        <v>275</v>
      </c>
      <c r="C132" s="676"/>
      <c r="D132" s="676"/>
      <c r="E132" s="676"/>
      <c r="F132" s="676"/>
      <c r="G132" s="676"/>
      <c r="H132" s="261">
        <v>2.96</v>
      </c>
    </row>
    <row r="133" spans="2:8">
      <c r="B133" s="675" t="s">
        <v>276</v>
      </c>
      <c r="C133" s="676"/>
      <c r="D133" s="676"/>
      <c r="E133" s="676"/>
      <c r="F133" s="676"/>
      <c r="G133" s="676"/>
      <c r="H133" s="261">
        <v>0</v>
      </c>
    </row>
    <row r="134" spans="2:8">
      <c r="B134" s="675" t="s">
        <v>277</v>
      </c>
      <c r="C134" s="676"/>
      <c r="D134" s="676"/>
      <c r="E134" s="676"/>
      <c r="F134" s="676"/>
      <c r="G134" s="676"/>
      <c r="H134" s="261">
        <v>4.34</v>
      </c>
    </row>
    <row r="135" spans="2:8">
      <c r="B135" s="675" t="s">
        <v>278</v>
      </c>
      <c r="C135" s="676"/>
      <c r="D135" s="676"/>
      <c r="E135" s="676"/>
      <c r="F135" s="676"/>
      <c r="G135" s="676"/>
      <c r="H135" s="262">
        <f>ROUNDDOWN(H130+H134,2)</f>
        <v>29.1</v>
      </c>
    </row>
    <row r="136" spans="2:8">
      <c r="B136" s="675" t="s">
        <v>279</v>
      </c>
      <c r="C136" s="676"/>
      <c r="D136" s="676"/>
      <c r="E136" s="676"/>
      <c r="F136" s="676"/>
      <c r="G136" s="676"/>
      <c r="H136" s="261">
        <v>712.35</v>
      </c>
    </row>
    <row r="137" spans="2:8">
      <c r="B137" s="675" t="s">
        <v>280</v>
      </c>
      <c r="C137" s="676"/>
      <c r="D137" s="676"/>
      <c r="E137" s="676"/>
      <c r="F137" s="676"/>
      <c r="G137" s="676"/>
      <c r="H137" s="262">
        <f>ROUNDDOWN(H135*H136,2)</f>
        <v>20729.38</v>
      </c>
    </row>
    <row r="138" spans="2:8">
      <c r="B138" s="677"/>
      <c r="C138" s="678"/>
      <c r="D138" s="678"/>
      <c r="E138" s="678"/>
      <c r="F138" s="678"/>
      <c r="G138" s="678"/>
      <c r="H138" s="679"/>
    </row>
    <row r="139" spans="2:8">
      <c r="B139" s="677"/>
      <c r="C139" s="678"/>
      <c r="D139" s="678"/>
      <c r="E139" s="678"/>
      <c r="F139" s="678"/>
      <c r="G139" s="678"/>
      <c r="H139" s="679"/>
    </row>
    <row r="140" spans="2:8" ht="25.5">
      <c r="B140" s="247" t="s">
        <v>142</v>
      </c>
      <c r="C140" s="248" t="s">
        <v>175</v>
      </c>
      <c r="D140" s="249" t="s">
        <v>257</v>
      </c>
      <c r="E140" s="249" t="s">
        <v>1</v>
      </c>
      <c r="F140" s="250"/>
      <c r="G140" s="251"/>
      <c r="H140" s="252"/>
    </row>
    <row r="141" spans="2:8" ht="38.25">
      <c r="B141" s="253"/>
      <c r="C141" s="254" t="s">
        <v>336</v>
      </c>
      <c r="D141" s="255" t="s">
        <v>14</v>
      </c>
      <c r="E141" s="255" t="s">
        <v>8</v>
      </c>
      <c r="F141" s="256">
        <f>(0.6*0.6*0.5)*0.7</f>
        <v>0.126</v>
      </c>
      <c r="G141" s="257">
        <v>57.87</v>
      </c>
      <c r="H141" s="258">
        <f>F141*G141</f>
        <v>7.29162</v>
      </c>
    </row>
    <row r="142" spans="2:8" ht="51">
      <c r="B142" s="253"/>
      <c r="C142" s="254" t="s">
        <v>337</v>
      </c>
      <c r="D142" s="255" t="s">
        <v>67</v>
      </c>
      <c r="E142" s="255" t="s">
        <v>8</v>
      </c>
      <c r="F142" s="256">
        <f>((0.4*0.4*0.5)-(0.1*0.1*0.5))*0.7</f>
        <v>5.2500000000000005E-2</v>
      </c>
      <c r="G142" s="257">
        <v>206.39</v>
      </c>
      <c r="H142" s="258">
        <f>F142*G142</f>
        <v>10.835475000000001</v>
      </c>
    </row>
    <row r="143" spans="2:8">
      <c r="B143" s="675" t="s">
        <v>271</v>
      </c>
      <c r="C143" s="676"/>
      <c r="D143" s="676"/>
      <c r="E143" s="676"/>
      <c r="F143" s="676"/>
      <c r="G143" s="676"/>
      <c r="H143" s="261"/>
    </row>
    <row r="144" spans="2:8">
      <c r="B144" s="675" t="s">
        <v>272</v>
      </c>
      <c r="C144" s="676"/>
      <c r="D144" s="676"/>
      <c r="E144" s="676"/>
      <c r="F144" s="676"/>
      <c r="G144" s="676"/>
      <c r="H144" s="261"/>
    </row>
    <row r="145" spans="2:11">
      <c r="B145" s="675" t="s">
        <v>273</v>
      </c>
      <c r="C145" s="676"/>
      <c r="D145" s="676"/>
      <c r="E145" s="676"/>
      <c r="F145" s="676"/>
      <c r="G145" s="676"/>
      <c r="H145" s="262">
        <f>SUM(H141:H142)</f>
        <v>18.127095000000001</v>
      </c>
    </row>
    <row r="146" spans="2:11">
      <c r="B146" s="675" t="s">
        <v>274</v>
      </c>
      <c r="C146" s="676"/>
      <c r="D146" s="676"/>
      <c r="E146" s="676"/>
      <c r="F146" s="676"/>
      <c r="G146" s="676"/>
      <c r="H146" s="261">
        <v>1.38</v>
      </c>
    </row>
    <row r="147" spans="2:11">
      <c r="B147" s="675" t="s">
        <v>275</v>
      </c>
      <c r="C147" s="676"/>
      <c r="D147" s="676"/>
      <c r="E147" s="676"/>
      <c r="F147" s="676"/>
      <c r="G147" s="676"/>
      <c r="H147" s="261">
        <v>2.96</v>
      </c>
    </row>
    <row r="148" spans="2:11">
      <c r="B148" s="675" t="s">
        <v>276</v>
      </c>
      <c r="C148" s="676"/>
      <c r="D148" s="676"/>
      <c r="E148" s="676"/>
      <c r="F148" s="676"/>
      <c r="G148" s="676"/>
      <c r="H148" s="261">
        <v>0</v>
      </c>
    </row>
    <row r="149" spans="2:11">
      <c r="B149" s="675" t="s">
        <v>277</v>
      </c>
      <c r="C149" s="676"/>
      <c r="D149" s="676"/>
      <c r="E149" s="676"/>
      <c r="F149" s="676"/>
      <c r="G149" s="676"/>
      <c r="H149" s="261">
        <v>4.34</v>
      </c>
    </row>
    <row r="150" spans="2:11">
      <c r="B150" s="675" t="s">
        <v>278</v>
      </c>
      <c r="C150" s="676"/>
      <c r="D150" s="676"/>
      <c r="E150" s="676"/>
      <c r="F150" s="676"/>
      <c r="G150" s="676"/>
      <c r="H150" s="262">
        <f>ROUNDDOWN(H145+H149,2)</f>
        <v>22.46</v>
      </c>
    </row>
    <row r="151" spans="2:11">
      <c r="B151" s="675" t="s">
        <v>279</v>
      </c>
      <c r="C151" s="676"/>
      <c r="D151" s="676"/>
      <c r="E151" s="676"/>
      <c r="F151" s="676"/>
      <c r="G151" s="676"/>
      <c r="H151" s="261">
        <v>712.35</v>
      </c>
    </row>
    <row r="152" spans="2:11">
      <c r="B152" s="675" t="s">
        <v>280</v>
      </c>
      <c r="C152" s="676"/>
      <c r="D152" s="676"/>
      <c r="E152" s="676"/>
      <c r="F152" s="676"/>
      <c r="G152" s="676"/>
      <c r="H152" s="262">
        <f>ROUNDDOWN(H150*H151,2)</f>
        <v>15999.38</v>
      </c>
    </row>
    <row r="153" spans="2:11">
      <c r="B153" s="677"/>
      <c r="C153" s="678"/>
      <c r="D153" s="678"/>
      <c r="E153" s="678"/>
      <c r="F153" s="678"/>
      <c r="G153" s="678"/>
      <c r="H153" s="679"/>
    </row>
    <row r="154" spans="2:11">
      <c r="B154" s="677"/>
      <c r="C154" s="678"/>
      <c r="D154" s="678"/>
      <c r="E154" s="678"/>
      <c r="F154" s="678"/>
      <c r="G154" s="678"/>
      <c r="H154" s="679"/>
    </row>
    <row r="155" spans="2:11" ht="25.5">
      <c r="B155" s="247" t="s">
        <v>142</v>
      </c>
      <c r="C155" s="248" t="s">
        <v>176</v>
      </c>
      <c r="D155" s="249" t="s">
        <v>257</v>
      </c>
      <c r="E155" s="249" t="s">
        <v>1</v>
      </c>
      <c r="F155" s="250"/>
      <c r="G155" s="251"/>
      <c r="H155" s="252"/>
      <c r="J155" s="178" t="s">
        <v>338</v>
      </c>
    </row>
    <row r="156" spans="2:11" ht="25.5">
      <c r="B156" s="253">
        <v>88316</v>
      </c>
      <c r="C156" s="254" t="s">
        <v>82</v>
      </c>
      <c r="D156" s="255" t="s">
        <v>14</v>
      </c>
      <c r="E156" s="255" t="s">
        <v>15</v>
      </c>
      <c r="F156" s="256">
        <f>0.0188*1.3*0.7</f>
        <v>1.7108000000000002E-2</v>
      </c>
      <c r="G156" s="257">
        <v>14.63</v>
      </c>
      <c r="H156" s="258">
        <f>F156*G156</f>
        <v>0.25029004000000005</v>
      </c>
      <c r="K156" s="178" t="s">
        <v>339</v>
      </c>
    </row>
    <row r="157" spans="2:11">
      <c r="B157" s="675" t="s">
        <v>271</v>
      </c>
      <c r="C157" s="676"/>
      <c r="D157" s="676"/>
      <c r="E157" s="676"/>
      <c r="F157" s="676"/>
      <c r="G157" s="676"/>
      <c r="H157" s="261"/>
      <c r="K157" s="178" t="s">
        <v>340</v>
      </c>
    </row>
    <row r="158" spans="2:11">
      <c r="B158" s="675" t="s">
        <v>272</v>
      </c>
      <c r="C158" s="676"/>
      <c r="D158" s="676"/>
      <c r="E158" s="676"/>
      <c r="F158" s="676"/>
      <c r="G158" s="676"/>
      <c r="H158" s="261"/>
    </row>
    <row r="159" spans="2:11">
      <c r="B159" s="675" t="s">
        <v>273</v>
      </c>
      <c r="C159" s="676"/>
      <c r="D159" s="676"/>
      <c r="E159" s="676"/>
      <c r="F159" s="676"/>
      <c r="G159" s="676"/>
      <c r="H159" s="262">
        <f>SUM(H156:H156)</f>
        <v>0.25029004000000005</v>
      </c>
    </row>
    <row r="160" spans="2:11">
      <c r="B160" s="675" t="s">
        <v>274</v>
      </c>
      <c r="C160" s="676"/>
      <c r="D160" s="676"/>
      <c r="E160" s="676"/>
      <c r="F160" s="676"/>
      <c r="G160" s="676"/>
      <c r="H160" s="261">
        <v>1.38</v>
      </c>
    </row>
    <row r="161" spans="2:16">
      <c r="B161" s="675" t="s">
        <v>275</v>
      </c>
      <c r="C161" s="676"/>
      <c r="D161" s="676"/>
      <c r="E161" s="676"/>
      <c r="F161" s="676"/>
      <c r="G161" s="676"/>
      <c r="H161" s="261">
        <v>2.96</v>
      </c>
    </row>
    <row r="162" spans="2:16">
      <c r="B162" s="675" t="s">
        <v>276</v>
      </c>
      <c r="C162" s="676"/>
      <c r="D162" s="676"/>
      <c r="E162" s="676"/>
      <c r="F162" s="676"/>
      <c r="G162" s="676"/>
      <c r="H162" s="261">
        <v>0</v>
      </c>
    </row>
    <row r="163" spans="2:16">
      <c r="B163" s="675" t="s">
        <v>277</v>
      </c>
      <c r="C163" s="676"/>
      <c r="D163" s="676"/>
      <c r="E163" s="676"/>
      <c r="F163" s="676"/>
      <c r="G163" s="676"/>
      <c r="H163" s="261">
        <v>4.34</v>
      </c>
    </row>
    <row r="164" spans="2:16">
      <c r="B164" s="675" t="s">
        <v>278</v>
      </c>
      <c r="C164" s="676"/>
      <c r="D164" s="676"/>
      <c r="E164" s="676"/>
      <c r="F164" s="676"/>
      <c r="G164" s="676"/>
      <c r="H164" s="262">
        <f>ROUNDDOWN(H159+H163,2)</f>
        <v>4.59</v>
      </c>
    </row>
    <row r="165" spans="2:16">
      <c r="B165" s="675" t="s">
        <v>279</v>
      </c>
      <c r="C165" s="676"/>
      <c r="D165" s="676"/>
      <c r="E165" s="676"/>
      <c r="F165" s="676"/>
      <c r="G165" s="676"/>
      <c r="H165" s="261">
        <v>712.35</v>
      </c>
    </row>
    <row r="166" spans="2:16">
      <c r="B166" s="675" t="s">
        <v>280</v>
      </c>
      <c r="C166" s="676"/>
      <c r="D166" s="676"/>
      <c r="E166" s="676"/>
      <c r="F166" s="676"/>
      <c r="G166" s="676"/>
      <c r="H166" s="262">
        <f>ROUNDDOWN(H164*H165,2)</f>
        <v>3269.68</v>
      </c>
    </row>
    <row r="167" spans="2:16">
      <c r="B167" s="677"/>
      <c r="C167" s="678"/>
      <c r="D167" s="678"/>
      <c r="E167" s="678"/>
      <c r="F167" s="678"/>
      <c r="G167" s="678"/>
      <c r="H167" s="679"/>
    </row>
    <row r="168" spans="2:16">
      <c r="B168" s="677"/>
      <c r="C168" s="678"/>
      <c r="D168" s="678"/>
      <c r="E168" s="678"/>
      <c r="F168" s="678"/>
      <c r="G168" s="678"/>
      <c r="H168" s="679"/>
    </row>
    <row r="169" spans="2:16" ht="38.25">
      <c r="B169" s="247" t="s">
        <v>142</v>
      </c>
      <c r="C169" s="248" t="s">
        <v>213</v>
      </c>
      <c r="D169" s="249" t="s">
        <v>257</v>
      </c>
      <c r="E169" s="249" t="s">
        <v>1</v>
      </c>
      <c r="F169" s="250"/>
      <c r="G169" s="251"/>
      <c r="H169" s="252"/>
      <c r="J169" s="178" t="s">
        <v>341</v>
      </c>
    </row>
    <row r="170" spans="2:16" ht="51">
      <c r="B170" s="253">
        <v>34348</v>
      </c>
      <c r="C170" s="254" t="s">
        <v>342</v>
      </c>
      <c r="D170" s="255"/>
      <c r="E170" s="255" t="s">
        <v>1</v>
      </c>
      <c r="F170" s="256">
        <v>1</v>
      </c>
      <c r="G170" s="257">
        <v>33.78</v>
      </c>
      <c r="H170" s="258">
        <f>F170*G170</f>
        <v>33.78</v>
      </c>
      <c r="O170" s="178">
        <v>1</v>
      </c>
      <c r="P170" s="178">
        <v>0.6</v>
      </c>
    </row>
    <row r="171" spans="2:16" ht="25.5">
      <c r="B171" s="253">
        <v>11270</v>
      </c>
      <c r="C171" s="254" t="s">
        <v>343</v>
      </c>
      <c r="D171" s="255"/>
      <c r="E171" s="255" t="s">
        <v>10</v>
      </c>
      <c r="F171" s="256">
        <v>1.6659999999999999</v>
      </c>
      <c r="G171" s="257">
        <v>1.68</v>
      </c>
      <c r="H171" s="258">
        <f>F171*G171</f>
        <v>2.7988799999999996</v>
      </c>
    </row>
    <row r="172" spans="2:16" ht="25.5">
      <c r="B172" s="253">
        <v>7583</v>
      </c>
      <c r="C172" s="254" t="s">
        <v>344</v>
      </c>
      <c r="D172" s="255"/>
      <c r="E172" s="255" t="s">
        <v>10</v>
      </c>
      <c r="F172" s="256">
        <v>1.6659999999999999</v>
      </c>
      <c r="G172" s="257">
        <v>0.37</v>
      </c>
      <c r="H172" s="258">
        <f>F172*G172</f>
        <v>0.61641999999999997</v>
      </c>
      <c r="O172" s="178">
        <f>(O170*P172)/P170</f>
        <v>1.6666666666666667</v>
      </c>
      <c r="P172" s="178">
        <v>1</v>
      </c>
    </row>
    <row r="173" spans="2:16">
      <c r="B173" s="253">
        <v>88310</v>
      </c>
      <c r="C173" s="254" t="s">
        <v>18</v>
      </c>
      <c r="D173" s="255" t="s">
        <v>14</v>
      </c>
      <c r="E173" s="255" t="s">
        <v>15</v>
      </c>
      <c r="F173" s="256">
        <v>0.1</v>
      </c>
      <c r="G173" s="257">
        <v>17.8</v>
      </c>
      <c r="H173" s="258">
        <f>F173*G173</f>
        <v>1.7800000000000002</v>
      </c>
    </row>
    <row r="174" spans="2:16" ht="25.5">
      <c r="B174" s="253">
        <v>88316</v>
      </c>
      <c r="C174" s="254" t="s">
        <v>82</v>
      </c>
      <c r="D174" s="255" t="s">
        <v>14</v>
      </c>
      <c r="E174" s="255" t="s">
        <v>15</v>
      </c>
      <c r="F174" s="256">
        <v>0.15</v>
      </c>
      <c r="G174" s="257">
        <v>14.63</v>
      </c>
      <c r="H174" s="258">
        <f>F174*G174</f>
        <v>2.1945000000000001</v>
      </c>
    </row>
    <row r="175" spans="2:16">
      <c r="B175" s="675" t="s">
        <v>271</v>
      </c>
      <c r="C175" s="676"/>
      <c r="D175" s="676"/>
      <c r="E175" s="676"/>
      <c r="F175" s="676"/>
      <c r="G175" s="676"/>
      <c r="H175" s="261"/>
    </row>
    <row r="176" spans="2:16">
      <c r="B176" s="675" t="s">
        <v>272</v>
      </c>
      <c r="C176" s="676"/>
      <c r="D176" s="676"/>
      <c r="E176" s="676"/>
      <c r="F176" s="676"/>
      <c r="G176" s="676"/>
      <c r="H176" s="261"/>
    </row>
    <row r="177" spans="2:8">
      <c r="B177" s="675" t="s">
        <v>273</v>
      </c>
      <c r="C177" s="676"/>
      <c r="D177" s="676"/>
      <c r="E177" s="676"/>
      <c r="F177" s="676"/>
      <c r="G177" s="676"/>
      <c r="H177" s="262">
        <f>SUM(H170:H174)</f>
        <v>41.169799999999995</v>
      </c>
    </row>
    <row r="178" spans="2:8">
      <c r="B178" s="675" t="s">
        <v>274</v>
      </c>
      <c r="C178" s="676"/>
      <c r="D178" s="676"/>
      <c r="E178" s="676"/>
      <c r="F178" s="676"/>
      <c r="G178" s="676"/>
      <c r="H178" s="261">
        <v>1.38</v>
      </c>
    </row>
    <row r="179" spans="2:8">
      <c r="B179" s="675" t="s">
        <v>275</v>
      </c>
      <c r="C179" s="676"/>
      <c r="D179" s="676"/>
      <c r="E179" s="676"/>
      <c r="F179" s="676"/>
      <c r="G179" s="676"/>
      <c r="H179" s="261">
        <v>2.96</v>
      </c>
    </row>
    <row r="180" spans="2:8">
      <c r="B180" s="675" t="s">
        <v>276</v>
      </c>
      <c r="C180" s="676"/>
      <c r="D180" s="676"/>
      <c r="E180" s="676"/>
      <c r="F180" s="676"/>
      <c r="G180" s="676"/>
      <c r="H180" s="261">
        <v>0</v>
      </c>
    </row>
    <row r="181" spans="2:8">
      <c r="B181" s="675" t="s">
        <v>277</v>
      </c>
      <c r="C181" s="676"/>
      <c r="D181" s="676"/>
      <c r="E181" s="676"/>
      <c r="F181" s="676"/>
      <c r="G181" s="676"/>
      <c r="H181" s="261">
        <v>4.34</v>
      </c>
    </row>
    <row r="182" spans="2:8">
      <c r="B182" s="675" t="s">
        <v>278</v>
      </c>
      <c r="C182" s="676"/>
      <c r="D182" s="676"/>
      <c r="E182" s="676"/>
      <c r="F182" s="676"/>
      <c r="G182" s="676"/>
      <c r="H182" s="262">
        <f>ROUNDDOWN(H177+H181,2)</f>
        <v>45.5</v>
      </c>
    </row>
    <row r="183" spans="2:8">
      <c r="B183" s="675" t="s">
        <v>279</v>
      </c>
      <c r="C183" s="676"/>
      <c r="D183" s="676"/>
      <c r="E183" s="676"/>
      <c r="F183" s="676"/>
      <c r="G183" s="676"/>
      <c r="H183" s="261"/>
    </row>
    <row r="184" spans="2:8">
      <c r="B184" s="675" t="s">
        <v>280</v>
      </c>
      <c r="C184" s="676"/>
      <c r="D184" s="676"/>
      <c r="E184" s="676"/>
      <c r="F184" s="676"/>
      <c r="G184" s="676"/>
      <c r="H184" s="262">
        <f>ROUNDDOWN(H182*H183,2)</f>
        <v>0</v>
      </c>
    </row>
    <row r="185" spans="2:8">
      <c r="B185" s="677"/>
      <c r="C185" s="678"/>
      <c r="D185" s="678"/>
      <c r="E185" s="678"/>
      <c r="F185" s="678"/>
      <c r="G185" s="678"/>
      <c r="H185" s="679"/>
    </row>
    <row r="186" spans="2:8">
      <c r="B186" s="683" t="s">
        <v>345</v>
      </c>
      <c r="C186" s="684"/>
      <c r="D186" s="684"/>
      <c r="E186" s="684"/>
      <c r="F186" s="684"/>
      <c r="G186" s="685"/>
      <c r="H186" s="265" t="e">
        <f>#REF!+#REF!+#REF!+#REF!+#REF!+#REF!+#REF!+#REF!+#REF!+#REF!+#REF!+#REF!+#REF!+#REF!+#REF!+#REF!+#REF!+#REF!+#REF!+#REF!+#REF!+#REF!+#REF!+#REF!+#REF!+#REF!+#REF!+#REF!+#REF!+#REF!+$G$52+#REF!+#REF!+#REF!+#REF!+#REF!+$G$186</f>
        <v>#REF!</v>
      </c>
    </row>
    <row r="187" spans="2:8">
      <c r="B187" s="677"/>
      <c r="C187" s="678"/>
      <c r="D187" s="678"/>
      <c r="E187" s="678"/>
      <c r="F187" s="678"/>
      <c r="G187" s="678"/>
      <c r="H187" s="679"/>
    </row>
    <row r="188" spans="2:8">
      <c r="B188" s="247" t="s">
        <v>142</v>
      </c>
      <c r="C188" s="248" t="s">
        <v>164</v>
      </c>
      <c r="D188" s="249" t="s">
        <v>257</v>
      </c>
      <c r="E188" s="249" t="s">
        <v>0</v>
      </c>
      <c r="F188" s="250"/>
      <c r="G188" s="251"/>
      <c r="H188" s="252"/>
    </row>
    <row r="189" spans="2:8" ht="25.5">
      <c r="B189" s="253" t="s">
        <v>346</v>
      </c>
      <c r="C189" s="254" t="s">
        <v>347</v>
      </c>
      <c r="D189" s="255" t="s">
        <v>14</v>
      </c>
      <c r="E189" s="255" t="s">
        <v>0</v>
      </c>
      <c r="F189" s="256">
        <v>1</v>
      </c>
      <c r="G189" s="257">
        <v>250</v>
      </c>
      <c r="H189" s="258">
        <f>F189*G189</f>
        <v>250</v>
      </c>
    </row>
    <row r="190" spans="2:8">
      <c r="B190" s="675" t="s">
        <v>271</v>
      </c>
      <c r="C190" s="676"/>
      <c r="D190" s="676"/>
      <c r="E190" s="676"/>
      <c r="F190" s="676"/>
      <c r="G190" s="676"/>
      <c r="H190" s="261"/>
    </row>
    <row r="191" spans="2:8">
      <c r="B191" s="675" t="s">
        <v>272</v>
      </c>
      <c r="C191" s="676"/>
      <c r="D191" s="676"/>
      <c r="E191" s="676"/>
      <c r="F191" s="676"/>
      <c r="G191" s="676"/>
      <c r="H191" s="261"/>
    </row>
    <row r="192" spans="2:8">
      <c r="B192" s="675" t="s">
        <v>273</v>
      </c>
      <c r="C192" s="676"/>
      <c r="D192" s="676"/>
      <c r="E192" s="676"/>
      <c r="F192" s="676"/>
      <c r="G192" s="676"/>
      <c r="H192" s="262">
        <f>SUM(H189:H189)</f>
        <v>250</v>
      </c>
    </row>
    <row r="193" spans="2:8">
      <c r="B193" s="675" t="s">
        <v>274</v>
      </c>
      <c r="C193" s="676"/>
      <c r="D193" s="676"/>
      <c r="E193" s="676"/>
      <c r="F193" s="676"/>
      <c r="G193" s="676"/>
      <c r="H193" s="261">
        <v>1.38</v>
      </c>
    </row>
    <row r="194" spans="2:8">
      <c r="B194" s="675" t="s">
        <v>275</v>
      </c>
      <c r="C194" s="676"/>
      <c r="D194" s="676"/>
      <c r="E194" s="676"/>
      <c r="F194" s="676"/>
      <c r="G194" s="676"/>
      <c r="H194" s="261">
        <v>2.96</v>
      </c>
    </row>
    <row r="195" spans="2:8">
      <c r="B195" s="675" t="s">
        <v>276</v>
      </c>
      <c r="C195" s="676"/>
      <c r="D195" s="676"/>
      <c r="E195" s="676"/>
      <c r="F195" s="676"/>
      <c r="G195" s="676"/>
      <c r="H195" s="261">
        <v>0</v>
      </c>
    </row>
    <row r="196" spans="2:8">
      <c r="B196" s="675" t="s">
        <v>277</v>
      </c>
      <c r="C196" s="676"/>
      <c r="D196" s="676"/>
      <c r="E196" s="676"/>
      <c r="F196" s="676"/>
      <c r="G196" s="676"/>
      <c r="H196" s="261">
        <v>4.34</v>
      </c>
    </row>
    <row r="197" spans="2:8">
      <c r="B197" s="675" t="s">
        <v>278</v>
      </c>
      <c r="C197" s="676"/>
      <c r="D197" s="676"/>
      <c r="E197" s="676"/>
      <c r="F197" s="676"/>
      <c r="G197" s="676"/>
      <c r="H197" s="262">
        <f>ROUNDDOWN(H192+H196,2)</f>
        <v>254.34</v>
      </c>
    </row>
    <row r="198" spans="2:8">
      <c r="B198" s="675" t="s">
        <v>279</v>
      </c>
      <c r="C198" s="676"/>
      <c r="D198" s="676"/>
      <c r="E198" s="676"/>
      <c r="F198" s="676"/>
      <c r="G198" s="676"/>
      <c r="H198" s="261">
        <v>712.35</v>
      </c>
    </row>
    <row r="199" spans="2:8">
      <c r="B199" s="675" t="s">
        <v>280</v>
      </c>
      <c r="C199" s="676"/>
      <c r="D199" s="676"/>
      <c r="E199" s="676"/>
      <c r="F199" s="676"/>
      <c r="G199" s="676"/>
      <c r="H199" s="262">
        <f>ROUNDDOWN(H197*H198,2)</f>
        <v>181179.09</v>
      </c>
    </row>
    <row r="200" spans="2:8">
      <c r="B200" s="677"/>
      <c r="C200" s="678"/>
      <c r="D200" s="678"/>
      <c r="E200" s="678"/>
      <c r="F200" s="678"/>
      <c r="G200" s="678"/>
      <c r="H200" s="679"/>
    </row>
    <row r="201" spans="2:8" s="271" customFormat="1" ht="16.5">
      <c r="B201" s="266"/>
      <c r="C201" s="267"/>
      <c r="D201" s="268"/>
      <c r="E201" s="268"/>
      <c r="F201" s="268"/>
      <c r="G201" s="269" t="s">
        <v>232</v>
      </c>
      <c r="H201" s="270" t="e">
        <f>'002.Orçamento Analítico'!K186</f>
        <v>#REF!</v>
      </c>
    </row>
  </sheetData>
  <mergeCells count="113">
    <mergeCell ref="B196:G196"/>
    <mergeCell ref="B197:G197"/>
    <mergeCell ref="B198:G198"/>
    <mergeCell ref="B199:G199"/>
    <mergeCell ref="B200:H200"/>
    <mergeCell ref="B190:G190"/>
    <mergeCell ref="B191:G191"/>
    <mergeCell ref="B192:G192"/>
    <mergeCell ref="B193:G193"/>
    <mergeCell ref="B194:G194"/>
    <mergeCell ref="B195:G195"/>
    <mergeCell ref="B182:G182"/>
    <mergeCell ref="B183:G183"/>
    <mergeCell ref="B184:G184"/>
    <mergeCell ref="B185:H185"/>
    <mergeCell ref="B186:G186"/>
    <mergeCell ref="B187:H187"/>
    <mergeCell ref="B176:G176"/>
    <mergeCell ref="B177:G177"/>
    <mergeCell ref="B178:G178"/>
    <mergeCell ref="B179:G179"/>
    <mergeCell ref="B180:G180"/>
    <mergeCell ref="B181:G181"/>
    <mergeCell ref="B164:G164"/>
    <mergeCell ref="B165:G165"/>
    <mergeCell ref="B166:G166"/>
    <mergeCell ref="B167:H167"/>
    <mergeCell ref="B168:H168"/>
    <mergeCell ref="B175:G175"/>
    <mergeCell ref="B158:G158"/>
    <mergeCell ref="B159:G159"/>
    <mergeCell ref="B160:G160"/>
    <mergeCell ref="B161:G161"/>
    <mergeCell ref="B162:G162"/>
    <mergeCell ref="B163:G163"/>
    <mergeCell ref="B150:G150"/>
    <mergeCell ref="B151:G151"/>
    <mergeCell ref="B152:G152"/>
    <mergeCell ref="B153:H153"/>
    <mergeCell ref="B154:H154"/>
    <mergeCell ref="B157:G157"/>
    <mergeCell ref="B144:G144"/>
    <mergeCell ref="B145:G145"/>
    <mergeCell ref="B146:G146"/>
    <mergeCell ref="B147:G147"/>
    <mergeCell ref="B148:G148"/>
    <mergeCell ref="B149:G149"/>
    <mergeCell ref="B135:G135"/>
    <mergeCell ref="B136:G136"/>
    <mergeCell ref="B137:G137"/>
    <mergeCell ref="B138:H138"/>
    <mergeCell ref="B139:H139"/>
    <mergeCell ref="B143:G143"/>
    <mergeCell ref="B129:G129"/>
    <mergeCell ref="B130:G130"/>
    <mergeCell ref="B131:G131"/>
    <mergeCell ref="B132:G132"/>
    <mergeCell ref="B133:G133"/>
    <mergeCell ref="B134:G134"/>
    <mergeCell ref="B116:G116"/>
    <mergeCell ref="B117:G117"/>
    <mergeCell ref="B118:G118"/>
    <mergeCell ref="B119:G119"/>
    <mergeCell ref="B120:H120"/>
    <mergeCell ref="B128:G128"/>
    <mergeCell ref="B110:G110"/>
    <mergeCell ref="B111:G111"/>
    <mergeCell ref="B112:G112"/>
    <mergeCell ref="B113:G113"/>
    <mergeCell ref="B114:G114"/>
    <mergeCell ref="B115:G115"/>
    <mergeCell ref="B90:G90"/>
    <mergeCell ref="B91:G91"/>
    <mergeCell ref="B92:G92"/>
    <mergeCell ref="B93:G93"/>
    <mergeCell ref="B94:G94"/>
    <mergeCell ref="B95:G95"/>
    <mergeCell ref="B70:G70"/>
    <mergeCell ref="B71:G71"/>
    <mergeCell ref="B86:G86"/>
    <mergeCell ref="B87:G87"/>
    <mergeCell ref="B88:G88"/>
    <mergeCell ref="B89:G89"/>
    <mergeCell ref="B64:G64"/>
    <mergeCell ref="B65:G65"/>
    <mergeCell ref="B66:G66"/>
    <mergeCell ref="B67:G67"/>
    <mergeCell ref="B68:G68"/>
    <mergeCell ref="B69:G69"/>
    <mergeCell ref="B48:G48"/>
    <mergeCell ref="B49:G49"/>
    <mergeCell ref="B50:G50"/>
    <mergeCell ref="B51:H51"/>
    <mergeCell ref="B62:G62"/>
    <mergeCell ref="B63:G63"/>
    <mergeCell ref="B45:G45"/>
    <mergeCell ref="B46:G46"/>
    <mergeCell ref="B47:G47"/>
    <mergeCell ref="B28:G28"/>
    <mergeCell ref="B29:G29"/>
    <mergeCell ref="B30:G30"/>
    <mergeCell ref="B31:G31"/>
    <mergeCell ref="B32:H32"/>
    <mergeCell ref="B41:G41"/>
    <mergeCell ref="B22:G22"/>
    <mergeCell ref="B23:G23"/>
    <mergeCell ref="B24:G24"/>
    <mergeCell ref="B25:G25"/>
    <mergeCell ref="B26:G26"/>
    <mergeCell ref="B27:G27"/>
    <mergeCell ref="B42:G42"/>
    <mergeCell ref="B43:G43"/>
    <mergeCell ref="B44:G44"/>
  </mergeCells>
  <printOptions horizontalCentered="1"/>
  <pageMargins left="0.39370078740157483" right="0.39370078740157483" top="1.1023622047244095" bottom="0.55118110236220474" header="0.31496062992125984" footer="0.15748031496062992"/>
  <pageSetup paperSize="9" scale="67" orientation="portrait" r:id="rId1"/>
  <headerFooter>
    <oddHeader>&amp;L&amp;G&amp;C&amp;"Arial Narrow,Negrito"REPÚBLICA FEDERATIVA DO BRASIL
MINISTÉRIO DA EDUCAÇÃO
SECRETARIA DE EDUCAÇÃO TECNOLÓGICA
INSTITUTO FEDERAL DE EDUCAÇÃO, CIÊNCIA E TEC. DO AMAZONAS
PRÓ-REITORIA DE DES. INSTITUCIONAL
DIRETORIA OBRAS E SERV. DE ENGENHARIA&amp;R&amp;G</oddHeader>
    <oddFooter>&amp;C&amp;"Arial Narrow,Normal"&amp;10Reitoria - Avenida Ferreira Pena, 1.109, Centro - Manaus/AM - CEP: 69.025-010.
E-mail: enge.ifam@ifam.edu.br
Tel: (92) 3306-0045&amp;R&amp;"Arial Narrow,Normal"Página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Z277"/>
  <sheetViews>
    <sheetView tabSelected="1" view="pageBreakPreview" topLeftCell="B133" zoomScale="80" zoomScaleNormal="100" zoomScaleSheetLayoutView="80" workbookViewId="0">
      <selection activeCell="C141" sqref="C141"/>
    </sheetView>
  </sheetViews>
  <sheetFormatPr defaultColWidth="9.140625" defaultRowHeight="12.75"/>
  <cols>
    <col min="1" max="1" width="9.140625" style="4"/>
    <col min="2" max="2" width="11.140625" style="9" customWidth="1"/>
    <col min="3" max="3" width="122.42578125" style="1" customWidth="1"/>
    <col min="4" max="4" width="20" style="2" customWidth="1"/>
    <col min="5" max="5" width="9.140625" style="3"/>
    <col min="6" max="6" width="9.140625" style="4"/>
    <col min="7" max="7" width="14.5703125" style="5" customWidth="1"/>
    <col min="8" max="8" width="17.85546875" style="11" customWidth="1"/>
    <col min="9" max="9" width="10.140625" style="10" customWidth="1"/>
    <col min="10" max="11" width="9.140625" style="4"/>
    <col min="12" max="12" width="6.42578125" style="4" bestFit="1" customWidth="1"/>
    <col min="13" max="13" width="10" style="4" bestFit="1" customWidth="1"/>
    <col min="14" max="14" width="9.140625" style="4"/>
    <col min="15" max="15" width="13.85546875" style="4" customWidth="1"/>
    <col min="16" max="16" width="13.5703125" style="4" customWidth="1"/>
    <col min="17" max="16384" width="9.140625" style="4"/>
  </cols>
  <sheetData>
    <row r="1" spans="1:10" s="6" customFormat="1" ht="14.25" customHeight="1">
      <c r="B1" s="770" t="s">
        <v>3</v>
      </c>
      <c r="C1" s="770"/>
      <c r="D1" s="770"/>
      <c r="E1" s="770"/>
      <c r="F1" s="770"/>
      <c r="G1" s="770"/>
      <c r="H1" s="770"/>
      <c r="I1" s="770"/>
    </row>
    <row r="2" spans="1:10" s="6" customFormat="1" ht="14.25" customHeight="1">
      <c r="B2" s="770" t="s">
        <v>4</v>
      </c>
      <c r="C2" s="770"/>
      <c r="D2" s="770"/>
      <c r="E2" s="770"/>
      <c r="F2" s="770"/>
      <c r="G2" s="770"/>
      <c r="H2" s="770"/>
      <c r="I2" s="770"/>
    </row>
    <row r="3" spans="1:10" s="6" customFormat="1" ht="14.25" customHeight="1">
      <c r="B3" s="770" t="s">
        <v>5</v>
      </c>
      <c r="C3" s="770"/>
      <c r="D3" s="770"/>
      <c r="E3" s="770"/>
      <c r="F3" s="770"/>
      <c r="G3" s="770"/>
      <c r="H3" s="770"/>
      <c r="I3" s="770"/>
    </row>
    <row r="4" spans="1:10" s="6" customFormat="1" ht="14.25" customHeight="1">
      <c r="B4" s="770" t="s">
        <v>6</v>
      </c>
      <c r="C4" s="770"/>
      <c r="D4" s="770"/>
      <c r="E4" s="770"/>
      <c r="F4" s="770"/>
      <c r="G4" s="770"/>
      <c r="H4" s="770"/>
      <c r="I4" s="770"/>
      <c r="J4" s="382"/>
    </row>
    <row r="5" spans="1:10" s="6" customFormat="1" ht="14.25" customHeight="1">
      <c r="B5" s="770" t="s">
        <v>7</v>
      </c>
      <c r="C5" s="770"/>
      <c r="D5" s="770"/>
      <c r="E5" s="770"/>
      <c r="F5" s="770"/>
      <c r="G5" s="770"/>
      <c r="H5" s="770"/>
      <c r="I5" s="770"/>
      <c r="J5" s="382"/>
    </row>
    <row r="6" spans="1:10" s="6" customFormat="1" ht="14.25" customHeight="1">
      <c r="B6" s="770" t="s">
        <v>492</v>
      </c>
      <c r="C6" s="770"/>
      <c r="D6" s="770"/>
      <c r="E6" s="770"/>
      <c r="F6" s="770"/>
      <c r="G6" s="770"/>
      <c r="H6" s="770"/>
      <c r="I6" s="770"/>
    </row>
    <row r="7" spans="1:10" s="6" customFormat="1" ht="14.25" customHeight="1">
      <c r="B7" s="15"/>
      <c r="C7" s="16"/>
      <c r="D7" s="7"/>
      <c r="E7" s="7"/>
      <c r="F7" s="7"/>
      <c r="G7" s="7"/>
      <c r="H7" s="13"/>
      <c r="I7" s="474"/>
      <c r="J7" s="382"/>
    </row>
    <row r="8" spans="1:10" s="6" customFormat="1" ht="14.25" customHeight="1">
      <c r="B8" s="15"/>
      <c r="C8" s="774"/>
      <c r="D8" s="774"/>
      <c r="E8" s="774"/>
      <c r="F8" s="774"/>
      <c r="G8" s="774"/>
      <c r="H8" s="774"/>
      <c r="I8" s="474"/>
    </row>
    <row r="9" spans="1:10" s="6" customFormat="1" ht="20.100000000000001" customHeight="1">
      <c r="B9" s="15"/>
      <c r="C9" s="362" t="s">
        <v>737</v>
      </c>
      <c r="D9" s="363"/>
      <c r="E9" s="363"/>
      <c r="F9" s="363"/>
      <c r="G9" s="364"/>
      <c r="H9" s="365"/>
      <c r="I9" s="365"/>
      <c r="J9" s="22"/>
    </row>
    <row r="10" spans="1:10" s="6" customFormat="1" ht="14.25" customHeight="1">
      <c r="B10" s="15"/>
      <c r="C10" s="777" t="s">
        <v>736</v>
      </c>
      <c r="D10" s="777"/>
      <c r="E10" s="777"/>
      <c r="F10" s="777"/>
      <c r="G10" s="777"/>
      <c r="H10" s="777"/>
      <c r="I10" s="777"/>
      <c r="J10" s="495"/>
    </row>
    <row r="11" spans="1:10" s="6" customFormat="1" ht="15" customHeight="1" thickBot="1">
      <c r="B11" s="15"/>
      <c r="C11" s="775"/>
      <c r="D11" s="776"/>
      <c r="E11" s="776"/>
      <c r="F11" s="776"/>
      <c r="G11" s="776"/>
      <c r="H11" s="12"/>
      <c r="I11" s="14"/>
    </row>
    <row r="12" spans="1:10" ht="30" customHeight="1" thickBot="1">
      <c r="B12" s="771" t="s">
        <v>2</v>
      </c>
      <c r="C12" s="772"/>
      <c r="D12" s="772"/>
      <c r="E12" s="772"/>
      <c r="F12" s="772"/>
      <c r="G12" s="772"/>
      <c r="H12" s="772"/>
      <c r="I12" s="773"/>
      <c r="J12" s="6"/>
    </row>
    <row r="13" spans="1:10" ht="14.25" thickTop="1" thickBot="1">
      <c r="A13" s="105"/>
      <c r="B13" s="103">
        <v>1</v>
      </c>
      <c r="C13" s="722" t="s">
        <v>111</v>
      </c>
      <c r="D13" s="723"/>
      <c r="E13" s="723"/>
      <c r="F13" s="723"/>
      <c r="G13" s="723"/>
      <c r="H13" s="723"/>
      <c r="I13" s="724"/>
      <c r="J13" s="6"/>
    </row>
    <row r="14" spans="1:10" ht="14.25" thickTop="1" thickBot="1">
      <c r="A14" s="105"/>
      <c r="B14" s="106" t="s">
        <v>773</v>
      </c>
      <c r="C14" s="391" t="s">
        <v>652</v>
      </c>
      <c r="D14" s="402"/>
      <c r="E14" s="402"/>
      <c r="F14" s="402"/>
      <c r="G14" s="402"/>
      <c r="H14" s="403"/>
      <c r="I14" s="404"/>
      <c r="J14" s="6"/>
    </row>
    <row r="15" spans="1:10" s="8" customFormat="1" ht="24" customHeight="1" thickTop="1">
      <c r="A15" s="105"/>
      <c r="B15" s="778" t="s">
        <v>653</v>
      </c>
      <c r="C15" s="780" t="s">
        <v>112</v>
      </c>
      <c r="D15" s="380" t="s">
        <v>113</v>
      </c>
      <c r="E15" s="782" t="s">
        <v>114</v>
      </c>
      <c r="F15" s="783"/>
      <c r="G15" s="784"/>
      <c r="H15" s="743">
        <v>4.8</v>
      </c>
      <c r="I15" s="746" t="s">
        <v>9</v>
      </c>
      <c r="J15" s="6"/>
    </row>
    <row r="16" spans="1:10" s="8" customFormat="1" ht="32.25" customHeight="1" thickBot="1">
      <c r="A16" s="105"/>
      <c r="B16" s="779"/>
      <c r="C16" s="781"/>
      <c r="D16" s="387" t="s">
        <v>115</v>
      </c>
      <c r="E16" s="804" t="s">
        <v>116</v>
      </c>
      <c r="F16" s="804"/>
      <c r="G16" s="805"/>
      <c r="H16" s="745"/>
      <c r="I16" s="748"/>
      <c r="J16" s="6"/>
    </row>
    <row r="17" spans="1:14" s="8" customFormat="1" ht="33.75" customHeight="1" thickTop="1" thickBot="1">
      <c r="A17" s="105"/>
      <c r="B17" s="368" t="s">
        <v>654</v>
      </c>
      <c r="C17" s="398" t="s">
        <v>655</v>
      </c>
      <c r="D17" s="806" t="s">
        <v>560</v>
      </c>
      <c r="E17" s="757"/>
      <c r="F17" s="757"/>
      <c r="G17" s="786"/>
      <c r="H17" s="111">
        <v>850.8</v>
      </c>
      <c r="I17" s="113" t="s">
        <v>9</v>
      </c>
      <c r="J17" s="6"/>
    </row>
    <row r="18" spans="1:14" s="8" customFormat="1" ht="33.75" customHeight="1" thickTop="1">
      <c r="A18" s="105"/>
      <c r="B18" s="731">
        <v>98441</v>
      </c>
      <c r="C18" s="692" t="s">
        <v>564</v>
      </c>
      <c r="D18" s="405" t="s">
        <v>586</v>
      </c>
      <c r="E18" s="796" t="s">
        <v>588</v>
      </c>
      <c r="F18" s="735"/>
      <c r="G18" s="736"/>
      <c r="H18" s="743">
        <v>17.36</v>
      </c>
      <c r="I18" s="746" t="s">
        <v>9</v>
      </c>
      <c r="J18" s="6"/>
      <c r="K18" s="8">
        <f>3.1*2.8</f>
        <v>8.68</v>
      </c>
    </row>
    <row r="19" spans="1:14" s="8" customFormat="1" ht="33.75" customHeight="1" thickBot="1">
      <c r="A19" s="105"/>
      <c r="B19" s="733"/>
      <c r="C19" s="694"/>
      <c r="D19" s="406" t="s">
        <v>587</v>
      </c>
      <c r="E19" s="793" t="s">
        <v>589</v>
      </c>
      <c r="F19" s="794"/>
      <c r="G19" s="795"/>
      <c r="H19" s="745"/>
      <c r="I19" s="747"/>
      <c r="J19" s="6"/>
      <c r="K19" s="8">
        <v>3</v>
      </c>
    </row>
    <row r="20" spans="1:14" s="8" customFormat="1" ht="33.75" customHeight="1" thickTop="1">
      <c r="A20" s="105"/>
      <c r="B20" s="731" t="s">
        <v>567</v>
      </c>
      <c r="C20" s="692" t="s">
        <v>566</v>
      </c>
      <c r="D20" s="407" t="s">
        <v>561</v>
      </c>
      <c r="E20" s="797" t="s">
        <v>590</v>
      </c>
      <c r="F20" s="797"/>
      <c r="G20" s="798"/>
      <c r="H20" s="743">
        <v>26.04</v>
      </c>
      <c r="I20" s="746" t="s">
        <v>9</v>
      </c>
      <c r="J20" s="6"/>
      <c r="K20" s="8">
        <f>K18*K19</f>
        <v>26.04</v>
      </c>
    </row>
    <row r="21" spans="1:14" s="8" customFormat="1" ht="33.75" customHeight="1">
      <c r="A21" s="105"/>
      <c r="B21" s="732"/>
      <c r="C21" s="693"/>
      <c r="D21" s="408" t="s">
        <v>563</v>
      </c>
      <c r="E21" s="803" t="s">
        <v>591</v>
      </c>
      <c r="F21" s="738"/>
      <c r="G21" s="739"/>
      <c r="H21" s="744"/>
      <c r="I21" s="747"/>
      <c r="J21" s="6"/>
    </row>
    <row r="22" spans="1:14" s="8" customFormat="1" ht="33.75" customHeight="1" thickBot="1">
      <c r="A22" s="105"/>
      <c r="B22" s="733"/>
      <c r="C22" s="694"/>
      <c r="D22" s="409" t="s">
        <v>565</v>
      </c>
      <c r="E22" s="785" t="s">
        <v>591</v>
      </c>
      <c r="F22" s="741"/>
      <c r="G22" s="742"/>
      <c r="H22" s="745"/>
      <c r="I22" s="748"/>
      <c r="J22" s="6"/>
      <c r="M22" s="394"/>
      <c r="N22" s="394"/>
    </row>
    <row r="23" spans="1:14" s="8" customFormat="1" ht="33.75" customHeight="1" thickTop="1">
      <c r="A23" s="105"/>
      <c r="B23" s="731">
        <v>98445</v>
      </c>
      <c r="C23" s="692" t="s">
        <v>562</v>
      </c>
      <c r="D23" s="406" t="s">
        <v>570</v>
      </c>
      <c r="E23" s="756" t="s">
        <v>578</v>
      </c>
      <c r="F23" s="757"/>
      <c r="G23" s="786"/>
      <c r="H23" s="743">
        <v>72.67</v>
      </c>
      <c r="I23" s="746" t="s">
        <v>9</v>
      </c>
      <c r="J23" s="6"/>
      <c r="M23" s="395"/>
      <c r="N23" s="394"/>
    </row>
    <row r="24" spans="1:14" s="8" customFormat="1" ht="33.75" customHeight="1">
      <c r="A24" s="105"/>
      <c r="B24" s="732"/>
      <c r="C24" s="693"/>
      <c r="D24" s="408" t="s">
        <v>568</v>
      </c>
      <c r="E24" s="787" t="s">
        <v>580</v>
      </c>
      <c r="F24" s="788"/>
      <c r="G24" s="789"/>
      <c r="H24" s="744"/>
      <c r="I24" s="747"/>
      <c r="J24" s="6"/>
      <c r="M24" s="395"/>
      <c r="N24" s="394"/>
    </row>
    <row r="25" spans="1:14" s="8" customFormat="1" ht="37.5" customHeight="1">
      <c r="A25" s="105"/>
      <c r="B25" s="732"/>
      <c r="C25" s="693"/>
      <c r="D25" s="408" t="s">
        <v>572</v>
      </c>
      <c r="E25" s="787" t="s">
        <v>579</v>
      </c>
      <c r="F25" s="788"/>
      <c r="G25" s="789"/>
      <c r="H25" s="744"/>
      <c r="I25" s="747"/>
      <c r="J25" s="6"/>
      <c r="M25" s="395"/>
      <c r="N25" s="394"/>
    </row>
    <row r="26" spans="1:14" s="8" customFormat="1" ht="33.75" customHeight="1">
      <c r="A26" s="105"/>
      <c r="B26" s="732"/>
      <c r="C26" s="693"/>
      <c r="D26" s="408" t="s">
        <v>571</v>
      </c>
      <c r="E26" s="764" t="s">
        <v>581</v>
      </c>
      <c r="F26" s="765"/>
      <c r="G26" s="799"/>
      <c r="H26" s="744"/>
      <c r="I26" s="747"/>
      <c r="J26" s="6"/>
      <c r="M26" s="395"/>
      <c r="N26" s="394"/>
    </row>
    <row r="27" spans="1:14" s="8" customFormat="1" ht="38.25" customHeight="1">
      <c r="A27" s="105"/>
      <c r="B27" s="732"/>
      <c r="C27" s="693"/>
      <c r="D27" s="408" t="s">
        <v>574</v>
      </c>
      <c r="E27" s="764" t="s">
        <v>582</v>
      </c>
      <c r="F27" s="765"/>
      <c r="G27" s="799"/>
      <c r="H27" s="744"/>
      <c r="I27" s="747"/>
      <c r="J27" s="6"/>
      <c r="M27" s="395"/>
      <c r="N27" s="394"/>
    </row>
    <row r="28" spans="1:14" s="8" customFormat="1" ht="33.75" customHeight="1" thickBot="1">
      <c r="A28" s="105"/>
      <c r="B28" s="733"/>
      <c r="C28" s="694"/>
      <c r="D28" s="410" t="s">
        <v>575</v>
      </c>
      <c r="E28" s="800" t="s">
        <v>583</v>
      </c>
      <c r="F28" s="801"/>
      <c r="G28" s="802"/>
      <c r="H28" s="745"/>
      <c r="I28" s="748"/>
      <c r="J28" s="6"/>
      <c r="M28" s="395"/>
      <c r="N28" s="394"/>
    </row>
    <row r="29" spans="1:14" s="8" customFormat="1" ht="48.75" customHeight="1" thickTop="1">
      <c r="A29" s="105"/>
      <c r="B29" s="731">
        <v>98454</v>
      </c>
      <c r="C29" s="692" t="s">
        <v>584</v>
      </c>
      <c r="D29" s="407" t="s">
        <v>573</v>
      </c>
      <c r="E29" s="790" t="s">
        <v>592</v>
      </c>
      <c r="F29" s="791"/>
      <c r="G29" s="792"/>
      <c r="H29" s="743">
        <v>8.52</v>
      </c>
      <c r="I29" s="746" t="s">
        <v>9</v>
      </c>
      <c r="J29" s="6"/>
      <c r="M29" s="395"/>
      <c r="N29" s="394"/>
    </row>
    <row r="30" spans="1:14" s="8" customFormat="1" ht="33.75" customHeight="1" thickBot="1">
      <c r="A30" s="105"/>
      <c r="B30" s="732"/>
      <c r="C30" s="693"/>
      <c r="D30" s="406" t="s">
        <v>569</v>
      </c>
      <c r="E30" s="766" t="s">
        <v>593</v>
      </c>
      <c r="F30" s="767"/>
      <c r="G30" s="767"/>
      <c r="H30" s="744"/>
      <c r="I30" s="748"/>
      <c r="J30" s="6"/>
      <c r="M30" s="395"/>
      <c r="N30" s="394"/>
    </row>
    <row r="31" spans="1:14" s="8" customFormat="1" ht="33.75" customHeight="1" thickTop="1" thickBot="1">
      <c r="A31" s="105"/>
      <c r="B31" s="411">
        <v>98448</v>
      </c>
      <c r="C31" s="412" t="s">
        <v>585</v>
      </c>
      <c r="D31" s="413" t="s">
        <v>576</v>
      </c>
      <c r="E31" s="761" t="s">
        <v>577</v>
      </c>
      <c r="F31" s="750"/>
      <c r="G31" s="751"/>
      <c r="H31" s="111">
        <v>12.96</v>
      </c>
      <c r="I31" s="113" t="s">
        <v>9</v>
      </c>
      <c r="J31" s="6"/>
      <c r="M31" s="396"/>
      <c r="N31" s="394"/>
    </row>
    <row r="32" spans="1:14" s="8" customFormat="1" ht="33.75" customHeight="1" thickTop="1" thickBot="1">
      <c r="A32" s="105"/>
      <c r="B32" s="414">
        <v>94569</v>
      </c>
      <c r="C32" s="415" t="s">
        <v>595</v>
      </c>
      <c r="D32" s="762" t="s">
        <v>594</v>
      </c>
      <c r="E32" s="763"/>
      <c r="F32" s="763"/>
      <c r="G32" s="763"/>
      <c r="H32" s="416">
        <f>5*0.3*0.3</f>
        <v>0.44999999999999996</v>
      </c>
      <c r="I32" s="416" t="s">
        <v>9</v>
      </c>
      <c r="J32" s="6"/>
    </row>
    <row r="33" spans="1:10" s="8" customFormat="1" ht="33.75" customHeight="1" thickTop="1" thickBot="1">
      <c r="A33" s="105"/>
      <c r="B33" s="368">
        <v>94570</v>
      </c>
      <c r="C33" s="114" t="s">
        <v>596</v>
      </c>
      <c r="D33" s="749" t="s">
        <v>597</v>
      </c>
      <c r="E33" s="750"/>
      <c r="F33" s="750"/>
      <c r="G33" s="751"/>
      <c r="H33" s="400">
        <v>6</v>
      </c>
      <c r="I33" s="399" t="s">
        <v>9</v>
      </c>
      <c r="J33" s="6"/>
    </row>
    <row r="34" spans="1:10" s="8" customFormat="1" ht="33.75" customHeight="1" thickTop="1" thickBot="1">
      <c r="A34" s="105"/>
      <c r="B34" s="368">
        <v>90822</v>
      </c>
      <c r="C34" s="114" t="s">
        <v>598</v>
      </c>
      <c r="D34" s="749" t="s">
        <v>599</v>
      </c>
      <c r="E34" s="750"/>
      <c r="F34" s="750"/>
      <c r="G34" s="751"/>
      <c r="H34" s="111">
        <v>4</v>
      </c>
      <c r="I34" s="399" t="s">
        <v>0</v>
      </c>
      <c r="J34" s="6"/>
    </row>
    <row r="35" spans="1:10" s="8" customFormat="1" ht="33.75" customHeight="1" thickTop="1" thickBot="1">
      <c r="A35" s="105"/>
      <c r="B35" s="368">
        <v>90820</v>
      </c>
      <c r="C35" s="114" t="s">
        <v>600</v>
      </c>
      <c r="D35" s="749" t="s">
        <v>601</v>
      </c>
      <c r="E35" s="757"/>
      <c r="F35" s="750"/>
      <c r="G35" s="751"/>
      <c r="H35" s="111">
        <v>4</v>
      </c>
      <c r="I35" s="399" t="s">
        <v>0</v>
      </c>
      <c r="J35" s="6"/>
    </row>
    <row r="36" spans="1:10" s="8" customFormat="1" ht="33.75" customHeight="1" thickTop="1">
      <c r="A36" s="105"/>
      <c r="B36" s="731">
        <v>94213</v>
      </c>
      <c r="C36" s="692" t="s">
        <v>602</v>
      </c>
      <c r="D36" s="417" t="s">
        <v>603</v>
      </c>
      <c r="E36" s="756" t="s">
        <v>606</v>
      </c>
      <c r="F36" s="757"/>
      <c r="G36" s="757"/>
      <c r="H36" s="743">
        <v>61.39</v>
      </c>
      <c r="I36" s="746" t="s">
        <v>9</v>
      </c>
      <c r="J36" s="6">
        <f>16.9*3.1</f>
        <v>52.39</v>
      </c>
    </row>
    <row r="37" spans="1:10" s="8" customFormat="1" ht="33.75" customHeight="1">
      <c r="A37" s="105"/>
      <c r="B37" s="732"/>
      <c r="C37" s="693"/>
      <c r="D37" s="418" t="s">
        <v>604</v>
      </c>
      <c r="E37" s="764" t="s">
        <v>605</v>
      </c>
      <c r="F37" s="765"/>
      <c r="G37" s="765"/>
      <c r="H37" s="744"/>
      <c r="I37" s="747"/>
      <c r="J37" s="6">
        <v>3</v>
      </c>
    </row>
    <row r="38" spans="1:10" s="8" customFormat="1" ht="33.75" customHeight="1" thickBot="1">
      <c r="A38" s="105"/>
      <c r="B38" s="733"/>
      <c r="C38" s="694"/>
      <c r="D38" s="419" t="s">
        <v>607</v>
      </c>
      <c r="E38" s="766" t="s">
        <v>608</v>
      </c>
      <c r="F38" s="767"/>
      <c r="G38" s="768"/>
      <c r="H38" s="745"/>
      <c r="I38" s="748"/>
      <c r="J38" s="6">
        <v>6</v>
      </c>
    </row>
    <row r="39" spans="1:10" s="8" customFormat="1" ht="33.75" customHeight="1" thickTop="1">
      <c r="A39" s="105"/>
      <c r="B39" s="731">
        <v>92543</v>
      </c>
      <c r="C39" s="692" t="s">
        <v>609</v>
      </c>
      <c r="D39" s="417" t="s">
        <v>603</v>
      </c>
      <c r="E39" s="756" t="s">
        <v>606</v>
      </c>
      <c r="F39" s="757"/>
      <c r="G39" s="757"/>
      <c r="H39" s="743">
        <v>61.39</v>
      </c>
      <c r="I39" s="746" t="s">
        <v>9</v>
      </c>
      <c r="J39" s="6">
        <f>SUM(J36:J38)</f>
        <v>61.39</v>
      </c>
    </row>
    <row r="40" spans="1:10" s="8" customFormat="1" ht="33.75" customHeight="1">
      <c r="A40" s="105"/>
      <c r="B40" s="732"/>
      <c r="C40" s="693"/>
      <c r="D40" s="418" t="s">
        <v>604</v>
      </c>
      <c r="E40" s="764" t="s">
        <v>605</v>
      </c>
      <c r="F40" s="765"/>
      <c r="G40" s="765"/>
      <c r="H40" s="744"/>
      <c r="I40" s="747"/>
      <c r="J40" s="6"/>
    </row>
    <row r="41" spans="1:10" s="8" customFormat="1" ht="33.75" customHeight="1" thickBot="1">
      <c r="A41" s="105"/>
      <c r="B41" s="733"/>
      <c r="C41" s="694"/>
      <c r="D41" s="419" t="s">
        <v>607</v>
      </c>
      <c r="E41" s="766" t="s">
        <v>608</v>
      </c>
      <c r="F41" s="767"/>
      <c r="G41" s="768"/>
      <c r="H41" s="745"/>
      <c r="I41" s="748"/>
      <c r="J41" s="6"/>
    </row>
    <row r="42" spans="1:10" s="8" customFormat="1" ht="33.75" customHeight="1" thickTop="1" thickBot="1">
      <c r="A42" s="105"/>
      <c r="B42" s="368">
        <v>86939</v>
      </c>
      <c r="C42" s="398" t="s">
        <v>610</v>
      </c>
      <c r="D42" s="807" t="s">
        <v>611</v>
      </c>
      <c r="E42" s="807"/>
      <c r="F42" s="807"/>
      <c r="G42" s="807"/>
      <c r="H42" s="111">
        <v>3</v>
      </c>
      <c r="I42" s="399" t="s">
        <v>0</v>
      </c>
      <c r="J42" s="6"/>
    </row>
    <row r="43" spans="1:10" s="8" customFormat="1" ht="33.75" customHeight="1" thickTop="1" thickBot="1">
      <c r="A43" s="105"/>
      <c r="B43" s="368">
        <v>86932</v>
      </c>
      <c r="C43" s="420" t="s">
        <v>612</v>
      </c>
      <c r="D43" s="769" t="s">
        <v>613</v>
      </c>
      <c r="E43" s="769"/>
      <c r="F43" s="769"/>
      <c r="G43" s="769"/>
      <c r="H43" s="111">
        <v>2</v>
      </c>
      <c r="I43" s="399" t="s">
        <v>0</v>
      </c>
      <c r="J43" s="6"/>
    </row>
    <row r="44" spans="1:10" s="8" customFormat="1" ht="33.75" customHeight="1" thickTop="1" thickBot="1">
      <c r="A44" s="105"/>
      <c r="B44" s="368" t="s">
        <v>656</v>
      </c>
      <c r="C44" s="420" t="s">
        <v>657</v>
      </c>
      <c r="D44" s="749" t="s">
        <v>614</v>
      </c>
      <c r="E44" s="750"/>
      <c r="F44" s="750"/>
      <c r="G44" s="751"/>
      <c r="H44" s="401">
        <v>2</v>
      </c>
      <c r="I44" s="399" t="s">
        <v>0</v>
      </c>
      <c r="J44" s="6"/>
    </row>
    <row r="45" spans="1:10" s="8" customFormat="1" ht="33.75" customHeight="1" thickTop="1" thickBot="1">
      <c r="A45" s="105"/>
      <c r="B45" s="368">
        <v>89356</v>
      </c>
      <c r="C45" s="420" t="s">
        <v>615</v>
      </c>
      <c r="D45" s="749" t="s">
        <v>118</v>
      </c>
      <c r="E45" s="750"/>
      <c r="F45" s="750"/>
      <c r="G45" s="751"/>
      <c r="H45" s="421">
        <f>10.36+0.78+1.1+1.1+1.1+1.1+0.9+0.9</f>
        <v>17.339999999999996</v>
      </c>
      <c r="I45" s="399" t="s">
        <v>1</v>
      </c>
      <c r="J45" s="6"/>
    </row>
    <row r="46" spans="1:10" s="8" customFormat="1" ht="33.75" customHeight="1" thickTop="1" thickBot="1">
      <c r="A46" s="105"/>
      <c r="B46" s="368">
        <v>89357</v>
      </c>
      <c r="C46" s="420" t="s">
        <v>616</v>
      </c>
      <c r="D46" s="749" t="s">
        <v>118</v>
      </c>
      <c r="E46" s="750"/>
      <c r="F46" s="750"/>
      <c r="G46" s="751"/>
      <c r="H46" s="400">
        <f>2.39+1.39</f>
        <v>3.7800000000000002</v>
      </c>
      <c r="I46" s="399" t="s">
        <v>1</v>
      </c>
      <c r="J46" s="6">
        <f>1.2+0.9</f>
        <v>2.1</v>
      </c>
    </row>
    <row r="47" spans="1:10" s="8" customFormat="1" ht="33.75" customHeight="1" thickTop="1" thickBot="1">
      <c r="A47" s="105"/>
      <c r="B47" s="368" t="s">
        <v>659</v>
      </c>
      <c r="C47" s="420" t="s">
        <v>658</v>
      </c>
      <c r="D47" s="749" t="s">
        <v>118</v>
      </c>
      <c r="E47" s="750"/>
      <c r="F47" s="750"/>
      <c r="G47" s="751"/>
      <c r="H47" s="111">
        <v>1</v>
      </c>
      <c r="I47" s="399" t="s">
        <v>0</v>
      </c>
      <c r="J47" s="6"/>
    </row>
    <row r="48" spans="1:10" s="8" customFormat="1" ht="33.75" customHeight="1" thickTop="1" thickBot="1">
      <c r="A48" s="105"/>
      <c r="B48" s="368">
        <v>103042</v>
      </c>
      <c r="C48" s="420" t="s">
        <v>617</v>
      </c>
      <c r="D48" s="749" t="s">
        <v>614</v>
      </c>
      <c r="E48" s="750"/>
      <c r="F48" s="750"/>
      <c r="G48" s="751"/>
      <c r="H48" s="421">
        <v>2</v>
      </c>
      <c r="I48" s="399" t="s">
        <v>0</v>
      </c>
      <c r="J48" s="6"/>
    </row>
    <row r="49" spans="1:10" s="8" customFormat="1" ht="33.75" customHeight="1" thickTop="1" thickBot="1">
      <c r="A49" s="105"/>
      <c r="B49" s="368">
        <v>89400</v>
      </c>
      <c r="C49" s="420" t="s">
        <v>618</v>
      </c>
      <c r="D49" s="749" t="s">
        <v>118</v>
      </c>
      <c r="E49" s="750"/>
      <c r="F49" s="750"/>
      <c r="G49" s="751"/>
      <c r="H49" s="111">
        <v>5</v>
      </c>
      <c r="I49" s="399" t="s">
        <v>0</v>
      </c>
      <c r="J49" s="6"/>
    </row>
    <row r="50" spans="1:10" s="8" customFormat="1" ht="33.75" customHeight="1" thickTop="1" thickBot="1">
      <c r="A50" s="105"/>
      <c r="B50" s="368">
        <v>89369</v>
      </c>
      <c r="C50" s="420" t="s">
        <v>619</v>
      </c>
      <c r="D50" s="749" t="s">
        <v>118</v>
      </c>
      <c r="E50" s="750"/>
      <c r="F50" s="750"/>
      <c r="G50" s="751"/>
      <c r="H50" s="111">
        <v>1</v>
      </c>
      <c r="I50" s="399" t="s">
        <v>0</v>
      </c>
      <c r="J50" s="6"/>
    </row>
    <row r="51" spans="1:10" s="8" customFormat="1" ht="33.75" customHeight="1" thickTop="1" thickBot="1">
      <c r="A51" s="105"/>
      <c r="B51" s="368">
        <v>89380</v>
      </c>
      <c r="C51" s="420" t="s">
        <v>620</v>
      </c>
      <c r="D51" s="749" t="s">
        <v>118</v>
      </c>
      <c r="E51" s="750"/>
      <c r="F51" s="750"/>
      <c r="G51" s="751"/>
      <c r="H51" s="111">
        <v>1</v>
      </c>
      <c r="I51" s="399" t="s">
        <v>0</v>
      </c>
      <c r="J51" s="6"/>
    </row>
    <row r="52" spans="1:10" s="8" customFormat="1" ht="33.75" customHeight="1" thickTop="1" thickBot="1">
      <c r="A52" s="105"/>
      <c r="B52" s="368">
        <v>89364</v>
      </c>
      <c r="C52" s="420" t="s">
        <v>621</v>
      </c>
      <c r="D52" s="749" t="s">
        <v>118</v>
      </c>
      <c r="E52" s="750"/>
      <c r="F52" s="750"/>
      <c r="G52" s="751"/>
      <c r="H52" s="111">
        <v>8</v>
      </c>
      <c r="I52" s="399" t="s">
        <v>0</v>
      </c>
      <c r="J52" s="6"/>
    </row>
    <row r="53" spans="1:10" s="8" customFormat="1" ht="33.75" customHeight="1" thickTop="1" thickBot="1">
      <c r="A53" s="105"/>
      <c r="B53" s="368" t="s">
        <v>622</v>
      </c>
      <c r="C53" s="420" t="s">
        <v>623</v>
      </c>
      <c r="D53" s="749" t="s">
        <v>118</v>
      </c>
      <c r="E53" s="750"/>
      <c r="F53" s="750"/>
      <c r="G53" s="751"/>
      <c r="H53" s="111">
        <f>1.17+2.53</f>
        <v>3.6999999999999997</v>
      </c>
      <c r="I53" s="399" t="s">
        <v>1</v>
      </c>
      <c r="J53" s="6"/>
    </row>
    <row r="54" spans="1:10" s="8" customFormat="1" ht="33.75" customHeight="1" thickTop="1" thickBot="1">
      <c r="A54" s="105"/>
      <c r="B54" s="368">
        <v>89712</v>
      </c>
      <c r="C54" s="420" t="s">
        <v>624</v>
      </c>
      <c r="D54" s="749" t="s">
        <v>118</v>
      </c>
      <c r="E54" s="750"/>
      <c r="F54" s="750"/>
      <c r="G54" s="751"/>
      <c r="H54" s="111">
        <f>0.73+0.43+0.37+0.28+2.02+1.74+0.6+8+2.33</f>
        <v>16.5</v>
      </c>
      <c r="I54" s="399" t="s">
        <v>1</v>
      </c>
      <c r="J54" s="6"/>
    </row>
    <row r="55" spans="1:10" s="8" customFormat="1" ht="33.75" customHeight="1" thickTop="1" thickBot="1">
      <c r="A55" s="105"/>
      <c r="B55" s="368">
        <v>89710</v>
      </c>
      <c r="C55" s="420" t="s">
        <v>625</v>
      </c>
      <c r="D55" s="749" t="s">
        <v>118</v>
      </c>
      <c r="E55" s="750"/>
      <c r="F55" s="750"/>
      <c r="G55" s="751"/>
      <c r="H55" s="111">
        <v>1</v>
      </c>
      <c r="I55" s="399" t="s">
        <v>0</v>
      </c>
      <c r="J55" s="6"/>
    </row>
    <row r="56" spans="1:10" s="8" customFormat="1" ht="33.75" customHeight="1" thickTop="1" thickBot="1">
      <c r="A56" s="105"/>
      <c r="B56" s="368">
        <v>104327</v>
      </c>
      <c r="C56" s="420" t="s">
        <v>626</v>
      </c>
      <c r="D56" s="749" t="s">
        <v>118</v>
      </c>
      <c r="E56" s="750"/>
      <c r="F56" s="750"/>
      <c r="G56" s="751"/>
      <c r="H56" s="111">
        <v>1</v>
      </c>
      <c r="I56" s="399" t="s">
        <v>0</v>
      </c>
      <c r="J56" s="6"/>
    </row>
    <row r="57" spans="1:10" s="8" customFormat="1" ht="33.75" customHeight="1" thickTop="1" thickBot="1">
      <c r="A57" s="105"/>
      <c r="B57" s="368">
        <v>89732</v>
      </c>
      <c r="C57" s="420" t="s">
        <v>627</v>
      </c>
      <c r="D57" s="749" t="s">
        <v>118</v>
      </c>
      <c r="E57" s="750"/>
      <c r="F57" s="750"/>
      <c r="G57" s="751"/>
      <c r="H57" s="111">
        <v>5</v>
      </c>
      <c r="I57" s="399" t="s">
        <v>0</v>
      </c>
      <c r="J57" s="6"/>
    </row>
    <row r="58" spans="1:10" s="8" customFormat="1" ht="33.75" customHeight="1" thickTop="1" thickBot="1">
      <c r="A58" s="105"/>
      <c r="B58" s="368" t="s">
        <v>628</v>
      </c>
      <c r="C58" s="420" t="s">
        <v>629</v>
      </c>
      <c r="D58" s="749" t="s">
        <v>118</v>
      </c>
      <c r="E58" s="750"/>
      <c r="F58" s="750"/>
      <c r="G58" s="751"/>
      <c r="H58" s="111">
        <v>2</v>
      </c>
      <c r="I58" s="399" t="s">
        <v>0</v>
      </c>
      <c r="J58" s="6"/>
    </row>
    <row r="59" spans="1:10" s="8" customFormat="1" ht="33.75" customHeight="1" thickTop="1" thickBot="1">
      <c r="A59" s="105"/>
      <c r="B59" s="368">
        <v>89707</v>
      </c>
      <c r="C59" s="420" t="s">
        <v>630</v>
      </c>
      <c r="D59" s="749" t="s">
        <v>118</v>
      </c>
      <c r="E59" s="750"/>
      <c r="F59" s="750"/>
      <c r="G59" s="751"/>
      <c r="H59" s="111">
        <v>1</v>
      </c>
      <c r="I59" s="399" t="s">
        <v>0</v>
      </c>
      <c r="J59" s="6"/>
    </row>
    <row r="60" spans="1:10" s="8" customFormat="1" ht="33.75" customHeight="1" thickTop="1" thickBot="1">
      <c r="A60" s="105"/>
      <c r="B60" s="368">
        <v>89731</v>
      </c>
      <c r="C60" s="420" t="s">
        <v>631</v>
      </c>
      <c r="D60" s="749" t="s">
        <v>118</v>
      </c>
      <c r="E60" s="750"/>
      <c r="F60" s="750"/>
      <c r="G60" s="751"/>
      <c r="H60" s="111">
        <v>5</v>
      </c>
      <c r="I60" s="399" t="s">
        <v>0</v>
      </c>
      <c r="J60" s="6"/>
    </row>
    <row r="61" spans="1:10" s="8" customFormat="1" ht="33.75" customHeight="1" thickTop="1" thickBot="1">
      <c r="A61" s="105"/>
      <c r="B61" s="422">
        <v>89797</v>
      </c>
      <c r="C61" s="423" t="s">
        <v>632</v>
      </c>
      <c r="D61" s="808" t="s">
        <v>118</v>
      </c>
      <c r="E61" s="809"/>
      <c r="F61" s="809"/>
      <c r="G61" s="810"/>
      <c r="H61" s="424">
        <v>1</v>
      </c>
      <c r="I61" s="425" t="s">
        <v>0</v>
      </c>
      <c r="J61" s="6"/>
    </row>
    <row r="62" spans="1:10" s="8" customFormat="1" ht="33.75" customHeight="1" thickTop="1" thickBot="1">
      <c r="A62" s="105"/>
      <c r="B62" s="368" t="s">
        <v>660</v>
      </c>
      <c r="C62" s="420" t="s">
        <v>633</v>
      </c>
      <c r="D62" s="749" t="s">
        <v>118</v>
      </c>
      <c r="E62" s="750"/>
      <c r="F62" s="750"/>
      <c r="G62" s="751"/>
      <c r="H62" s="111">
        <v>1</v>
      </c>
      <c r="I62" s="399" t="s">
        <v>0</v>
      </c>
      <c r="J62" s="6"/>
    </row>
    <row r="63" spans="1:10" s="8" customFormat="1" ht="33.75" customHeight="1" thickTop="1" thickBot="1">
      <c r="A63" s="105"/>
      <c r="B63" s="368">
        <v>104345</v>
      </c>
      <c r="C63" s="420" t="s">
        <v>634</v>
      </c>
      <c r="D63" s="749" t="s">
        <v>118</v>
      </c>
      <c r="E63" s="750"/>
      <c r="F63" s="750"/>
      <c r="G63" s="751"/>
      <c r="H63" s="111">
        <v>1</v>
      </c>
      <c r="I63" s="399" t="s">
        <v>0</v>
      </c>
      <c r="J63" s="6"/>
    </row>
    <row r="64" spans="1:10" s="8" customFormat="1" ht="33.75" customHeight="1" thickTop="1" thickBot="1">
      <c r="A64" s="105"/>
      <c r="B64" s="368" t="s">
        <v>661</v>
      </c>
      <c r="C64" s="420" t="s">
        <v>141</v>
      </c>
      <c r="D64" s="749" t="s">
        <v>135</v>
      </c>
      <c r="E64" s="750"/>
      <c r="F64" s="750"/>
      <c r="G64" s="751"/>
      <c r="H64" s="111">
        <v>1</v>
      </c>
      <c r="I64" s="399" t="s">
        <v>0</v>
      </c>
      <c r="J64" s="6"/>
    </row>
    <row r="65" spans="1:10" s="8" customFormat="1" ht="21" customHeight="1" thickTop="1">
      <c r="A65" s="105"/>
      <c r="B65" s="731">
        <v>98679</v>
      </c>
      <c r="C65" s="692" t="s">
        <v>758</v>
      </c>
      <c r="D65" s="734" t="s">
        <v>762</v>
      </c>
      <c r="E65" s="735"/>
      <c r="F65" s="735"/>
      <c r="G65" s="736"/>
      <c r="H65" s="743">
        <f>15.3+5.85+12.75+16</f>
        <v>49.9</v>
      </c>
      <c r="I65" s="746" t="s">
        <v>9</v>
      </c>
      <c r="J65" s="6"/>
    </row>
    <row r="66" spans="1:10" s="8" customFormat="1" ht="14.25" customHeight="1">
      <c r="A66" s="105"/>
      <c r="B66" s="732"/>
      <c r="C66" s="693"/>
      <c r="D66" s="737" t="s">
        <v>759</v>
      </c>
      <c r="E66" s="738"/>
      <c r="F66" s="738"/>
      <c r="G66" s="739"/>
      <c r="H66" s="744"/>
      <c r="I66" s="747"/>
      <c r="J66" s="6"/>
    </row>
    <row r="67" spans="1:10" s="8" customFormat="1" ht="15.75" customHeight="1">
      <c r="A67" s="105"/>
      <c r="B67" s="732"/>
      <c r="C67" s="693"/>
      <c r="D67" s="737" t="s">
        <v>760</v>
      </c>
      <c r="E67" s="738"/>
      <c r="F67" s="738"/>
      <c r="G67" s="739"/>
      <c r="H67" s="744"/>
      <c r="I67" s="747"/>
      <c r="J67" s="6"/>
    </row>
    <row r="68" spans="1:10" s="8" customFormat="1" ht="18.75" customHeight="1" thickBot="1">
      <c r="A68" s="105"/>
      <c r="B68" s="733"/>
      <c r="C68" s="694"/>
      <c r="D68" s="740" t="s">
        <v>761</v>
      </c>
      <c r="E68" s="741"/>
      <c r="F68" s="741"/>
      <c r="G68" s="742"/>
      <c r="H68" s="745"/>
      <c r="I68" s="748"/>
      <c r="J68" s="6"/>
    </row>
    <row r="69" spans="1:10" s="8" customFormat="1" ht="13.5" thickTop="1">
      <c r="A69" s="105"/>
      <c r="B69" s="731">
        <v>87299</v>
      </c>
      <c r="C69" s="692" t="s">
        <v>763</v>
      </c>
      <c r="D69" s="734" t="s">
        <v>764</v>
      </c>
      <c r="E69" s="735"/>
      <c r="F69" s="735"/>
      <c r="G69" s="736"/>
      <c r="H69" s="743">
        <v>1.5</v>
      </c>
      <c r="I69" s="746" t="s">
        <v>8</v>
      </c>
      <c r="J69" s="6"/>
    </row>
    <row r="70" spans="1:10" s="8" customFormat="1">
      <c r="A70" s="105"/>
      <c r="B70" s="732"/>
      <c r="C70" s="693"/>
      <c r="D70" s="737" t="s">
        <v>765</v>
      </c>
      <c r="E70" s="738"/>
      <c r="F70" s="738"/>
      <c r="G70" s="739"/>
      <c r="H70" s="744"/>
      <c r="I70" s="747"/>
      <c r="J70" s="6"/>
    </row>
    <row r="71" spans="1:10" s="8" customFormat="1">
      <c r="A71" s="105"/>
      <c r="B71" s="732"/>
      <c r="C71" s="693"/>
      <c r="D71" s="737" t="s">
        <v>766</v>
      </c>
      <c r="E71" s="738"/>
      <c r="F71" s="738"/>
      <c r="G71" s="739"/>
      <c r="H71" s="744"/>
      <c r="I71" s="747"/>
      <c r="J71" s="6"/>
    </row>
    <row r="72" spans="1:10" s="8" customFormat="1" ht="16.5" customHeight="1" thickBot="1">
      <c r="A72" s="105"/>
      <c r="B72" s="733"/>
      <c r="C72" s="694"/>
      <c r="D72" s="740" t="s">
        <v>767</v>
      </c>
      <c r="E72" s="741"/>
      <c r="F72" s="741"/>
      <c r="G72" s="742"/>
      <c r="H72" s="745"/>
      <c r="I72" s="748"/>
      <c r="J72" s="6"/>
    </row>
    <row r="73" spans="1:10" s="8" customFormat="1" ht="13.5" thickTop="1">
      <c r="A73" s="105"/>
      <c r="B73" s="731">
        <v>97584</v>
      </c>
      <c r="C73" s="692" t="s">
        <v>768</v>
      </c>
      <c r="D73" s="734" t="s">
        <v>769</v>
      </c>
      <c r="E73" s="735"/>
      <c r="F73" s="735"/>
      <c r="G73" s="736"/>
      <c r="H73" s="743">
        <v>4</v>
      </c>
      <c r="I73" s="746" t="s">
        <v>0</v>
      </c>
      <c r="J73" s="6"/>
    </row>
    <row r="74" spans="1:10" s="8" customFormat="1">
      <c r="A74" s="105"/>
      <c r="B74" s="732"/>
      <c r="C74" s="693"/>
      <c r="D74" s="737" t="s">
        <v>770</v>
      </c>
      <c r="E74" s="738"/>
      <c r="F74" s="738"/>
      <c r="G74" s="739"/>
      <c r="H74" s="744"/>
      <c r="I74" s="747"/>
      <c r="J74" s="6"/>
    </row>
    <row r="75" spans="1:10" s="8" customFormat="1">
      <c r="A75" s="105"/>
      <c r="B75" s="732"/>
      <c r="C75" s="693"/>
      <c r="D75" s="737" t="s">
        <v>771</v>
      </c>
      <c r="E75" s="738"/>
      <c r="F75" s="738"/>
      <c r="G75" s="739"/>
      <c r="H75" s="744"/>
      <c r="I75" s="747"/>
      <c r="J75" s="6"/>
    </row>
    <row r="76" spans="1:10" s="8" customFormat="1" ht="13.5" thickBot="1">
      <c r="A76" s="105"/>
      <c r="B76" s="733"/>
      <c r="C76" s="694"/>
      <c r="D76" s="740" t="s">
        <v>772</v>
      </c>
      <c r="E76" s="741"/>
      <c r="F76" s="741"/>
      <c r="G76" s="742"/>
      <c r="H76" s="745"/>
      <c r="I76" s="748"/>
      <c r="J76" s="6"/>
    </row>
    <row r="77" spans="1:10" s="8" customFormat="1" ht="33" customHeight="1" thickTop="1" thickBot="1">
      <c r="A77" s="105"/>
      <c r="B77" s="477">
        <v>98094</v>
      </c>
      <c r="C77" s="480" t="s">
        <v>774</v>
      </c>
      <c r="D77" s="749" t="s">
        <v>118</v>
      </c>
      <c r="E77" s="750"/>
      <c r="F77" s="750"/>
      <c r="G77" s="751"/>
      <c r="H77" s="478">
        <v>1</v>
      </c>
      <c r="I77" s="479" t="s">
        <v>0</v>
      </c>
      <c r="J77" s="6"/>
    </row>
    <row r="78" spans="1:10" s="8" customFormat="1" ht="16.5" customHeight="1" thickTop="1" thickBot="1">
      <c r="A78" s="105"/>
      <c r="B78" s="477"/>
      <c r="C78" s="480"/>
      <c r="D78" s="489"/>
      <c r="E78" s="481"/>
      <c r="F78" s="481"/>
      <c r="G78" s="482"/>
      <c r="H78" s="478"/>
      <c r="I78" s="479"/>
      <c r="J78" s="6"/>
    </row>
    <row r="79" spans="1:10" s="8" customFormat="1" ht="14.25" thickTop="1" thickBot="1">
      <c r="A79" s="105"/>
      <c r="B79" s="368"/>
      <c r="C79" s="114"/>
      <c r="D79" s="397"/>
      <c r="E79" s="397"/>
      <c r="F79" s="397"/>
      <c r="G79" s="397"/>
      <c r="H79" s="111"/>
      <c r="I79" s="113"/>
      <c r="J79" s="6"/>
    </row>
    <row r="80" spans="1:10" ht="14.25" thickTop="1" thickBot="1">
      <c r="A80" s="105"/>
      <c r="B80" s="103">
        <v>3</v>
      </c>
      <c r="C80" s="657" t="s">
        <v>35</v>
      </c>
      <c r="D80" s="658"/>
      <c r="E80" s="658"/>
      <c r="F80" s="658"/>
      <c r="G80" s="658"/>
      <c r="H80" s="658"/>
      <c r="I80" s="659"/>
      <c r="J80" s="2">
        <v>4</v>
      </c>
    </row>
    <row r="81" spans="1:16" ht="45" customHeight="1" thickTop="1" thickBot="1">
      <c r="A81" s="105"/>
      <c r="B81" s="586">
        <v>96521</v>
      </c>
      <c r="C81" s="587" t="s">
        <v>837</v>
      </c>
      <c r="D81" s="758" t="s">
        <v>838</v>
      </c>
      <c r="E81" s="759"/>
      <c r="F81" s="759"/>
      <c r="G81" s="760"/>
      <c r="H81" s="588">
        <f>'RESUMO.ESTR.'!H17</f>
        <v>645.63196625000216</v>
      </c>
      <c r="I81" s="589" t="s">
        <v>8</v>
      </c>
      <c r="J81" s="2"/>
    </row>
    <row r="82" spans="1:16" ht="45" customHeight="1" thickTop="1" thickBot="1">
      <c r="A82" s="105"/>
      <c r="B82" s="586">
        <v>96525</v>
      </c>
      <c r="C82" s="587" t="s">
        <v>839</v>
      </c>
      <c r="D82" s="758" t="s">
        <v>838</v>
      </c>
      <c r="E82" s="759"/>
      <c r="F82" s="759"/>
      <c r="G82" s="760"/>
      <c r="H82" s="588">
        <f>'RESUMO.ESTR.'!H18</f>
        <v>197.77207500000006</v>
      </c>
      <c r="I82" s="589" t="s">
        <v>8</v>
      </c>
      <c r="J82" s="2"/>
    </row>
    <row r="83" spans="1:16" ht="61.9" customHeight="1" thickTop="1" thickBot="1">
      <c r="A83" s="105"/>
      <c r="B83" s="586">
        <v>93379</v>
      </c>
      <c r="C83" s="587" t="s">
        <v>840</v>
      </c>
      <c r="D83" s="758" t="s">
        <v>838</v>
      </c>
      <c r="E83" s="759"/>
      <c r="F83" s="759"/>
      <c r="G83" s="760"/>
      <c r="H83" s="588">
        <f>'RESUMO.ESTR.'!H19</f>
        <v>1343</v>
      </c>
      <c r="I83" s="589" t="s">
        <v>8</v>
      </c>
      <c r="J83" s="2"/>
    </row>
    <row r="84" spans="1:16" ht="14.25" thickTop="1" thickBot="1">
      <c r="A84" s="105"/>
      <c r="B84" s="103">
        <v>4</v>
      </c>
      <c r="C84" s="657" t="s">
        <v>11</v>
      </c>
      <c r="D84" s="658"/>
      <c r="E84" s="658"/>
      <c r="F84" s="658"/>
      <c r="G84" s="658"/>
      <c r="H84" s="658"/>
      <c r="I84" s="659"/>
      <c r="J84" s="2">
        <v>5</v>
      </c>
    </row>
    <row r="85" spans="1:16" ht="14.25" thickTop="1" thickBot="1">
      <c r="A85" s="105"/>
      <c r="B85" s="106" t="s">
        <v>885</v>
      </c>
      <c r="C85" s="590" t="s">
        <v>842</v>
      </c>
      <c r="D85" s="591"/>
      <c r="E85" s="591"/>
      <c r="F85" s="591"/>
      <c r="G85" s="591"/>
      <c r="H85" s="591"/>
      <c r="I85" s="592"/>
      <c r="J85" s="2">
        <v>5</v>
      </c>
    </row>
    <row r="86" spans="1:16" s="8" customFormat="1" ht="27" thickTop="1" thickBot="1">
      <c r="A86" s="105"/>
      <c r="B86" s="586" t="s">
        <v>843</v>
      </c>
      <c r="C86" s="587" t="s">
        <v>844</v>
      </c>
      <c r="D86" s="758" t="s">
        <v>838</v>
      </c>
      <c r="E86" s="759"/>
      <c r="F86" s="759"/>
      <c r="G86" s="760"/>
      <c r="H86" s="588">
        <f>'RESUMO.ESTR.'!H22</f>
        <v>1343.4499999999962</v>
      </c>
      <c r="I86" s="589" t="s">
        <v>1</v>
      </c>
      <c r="J86" s="608" t="s">
        <v>877</v>
      </c>
      <c r="M86" s="8" t="s">
        <v>932</v>
      </c>
    </row>
    <row r="87" spans="1:16" s="8" customFormat="1" ht="14.25" thickTop="1" thickBot="1">
      <c r="A87" s="105"/>
      <c r="B87" s="586">
        <v>95601</v>
      </c>
      <c r="C87" s="587" t="s">
        <v>845</v>
      </c>
      <c r="D87" s="758" t="s">
        <v>838</v>
      </c>
      <c r="E87" s="759"/>
      <c r="F87" s="759"/>
      <c r="G87" s="760"/>
      <c r="H87" s="588">
        <f>'RESUMO.ESTR.'!H23</f>
        <v>330</v>
      </c>
      <c r="I87" s="589" t="s">
        <v>0</v>
      </c>
      <c r="J87" s="609"/>
    </row>
    <row r="88" spans="1:16" s="8" customFormat="1" ht="14.25" thickTop="1" thickBot="1">
      <c r="A88" s="105"/>
      <c r="B88" s="586">
        <v>95583</v>
      </c>
      <c r="C88" s="587" t="s">
        <v>846</v>
      </c>
      <c r="D88" s="758" t="s">
        <v>838</v>
      </c>
      <c r="E88" s="759"/>
      <c r="F88" s="759"/>
      <c r="G88" s="760"/>
      <c r="H88" s="588">
        <f>'RESUMO.ESTR.'!H24</f>
        <v>1213.1812</v>
      </c>
      <c r="I88" s="589" t="s">
        <v>0</v>
      </c>
      <c r="J88" s="609"/>
    </row>
    <row r="89" spans="1:16" s="8" customFormat="1" ht="14.25" thickTop="1" thickBot="1">
      <c r="A89" s="105"/>
      <c r="B89" s="586">
        <v>95577</v>
      </c>
      <c r="C89" s="587" t="s">
        <v>847</v>
      </c>
      <c r="D89" s="758" t="s">
        <v>838</v>
      </c>
      <c r="E89" s="759"/>
      <c r="F89" s="759"/>
      <c r="G89" s="760"/>
      <c r="H89" s="588">
        <f>'RESUMO.ESTR.'!H25</f>
        <v>4166.2307999999994</v>
      </c>
      <c r="I89" s="589" t="s">
        <v>0</v>
      </c>
      <c r="J89" s="609"/>
    </row>
    <row r="90" spans="1:16" ht="14.25" thickTop="1" thickBot="1">
      <c r="A90" s="105"/>
      <c r="B90" s="106" t="s">
        <v>886</v>
      </c>
      <c r="C90" s="590" t="s">
        <v>849</v>
      </c>
      <c r="D90" s="591"/>
      <c r="E90" s="591"/>
      <c r="F90" s="591"/>
      <c r="G90" s="591"/>
      <c r="H90" s="660"/>
      <c r="I90" s="592"/>
      <c r="J90" s="2">
        <v>5</v>
      </c>
    </row>
    <row r="91" spans="1:16" s="8" customFormat="1" ht="14.25" thickTop="1" thickBot="1">
      <c r="A91" s="105"/>
      <c r="B91" s="586">
        <v>96619</v>
      </c>
      <c r="C91" s="587" t="s">
        <v>850</v>
      </c>
      <c r="D91" s="758" t="s">
        <v>838</v>
      </c>
      <c r="E91" s="759"/>
      <c r="F91" s="759"/>
      <c r="G91" s="760"/>
      <c r="H91" s="588">
        <f>'RESUMO.ESTR.'!H27</f>
        <v>207.89039999999923</v>
      </c>
      <c r="I91" s="589" t="s">
        <v>9</v>
      </c>
      <c r="J91" s="609"/>
    </row>
    <row r="92" spans="1:16" s="8" customFormat="1" ht="27" thickTop="1" thickBot="1">
      <c r="A92" s="105"/>
      <c r="B92" s="586">
        <v>96534</v>
      </c>
      <c r="C92" s="587" t="s">
        <v>851</v>
      </c>
      <c r="D92" s="758" t="s">
        <v>838</v>
      </c>
      <c r="E92" s="759"/>
      <c r="F92" s="759"/>
      <c r="G92" s="760"/>
      <c r="H92" s="588">
        <f>'RESUMO.ESTR.'!H28</f>
        <v>627.32350000000167</v>
      </c>
      <c r="I92" s="589" t="s">
        <v>9</v>
      </c>
      <c r="J92" s="609"/>
    </row>
    <row r="93" spans="1:16" s="8" customFormat="1" ht="14.25" thickTop="1" thickBot="1">
      <c r="A93" s="105"/>
      <c r="B93" s="586">
        <v>96543</v>
      </c>
      <c r="C93" s="587" t="s">
        <v>852</v>
      </c>
      <c r="D93" s="758" t="s">
        <v>838</v>
      </c>
      <c r="E93" s="759"/>
      <c r="F93" s="759"/>
      <c r="G93" s="760"/>
      <c r="H93" s="588">
        <f>'RESUMO.ESTR.'!H29</f>
        <v>22.397759999999998</v>
      </c>
      <c r="I93" s="589" t="s">
        <v>12</v>
      </c>
      <c r="J93" s="609"/>
      <c r="M93" s="610">
        <v>44369</v>
      </c>
      <c r="N93" s="610">
        <f>P93-O93</f>
        <v>44459</v>
      </c>
      <c r="O93" s="8">
        <v>105</v>
      </c>
      <c r="P93" s="610">
        <v>44564</v>
      </c>
    </row>
    <row r="94" spans="1:16" s="8" customFormat="1" ht="14.25" thickTop="1" thickBot="1">
      <c r="A94" s="105"/>
      <c r="B94" s="586">
        <v>96544</v>
      </c>
      <c r="C94" s="587" t="s">
        <v>853</v>
      </c>
      <c r="D94" s="758" t="s">
        <v>838</v>
      </c>
      <c r="E94" s="759"/>
      <c r="F94" s="759"/>
      <c r="G94" s="760"/>
      <c r="H94" s="588">
        <f>'RESUMO.ESTR.'!H30</f>
        <v>223.72910000000002</v>
      </c>
      <c r="I94" s="589" t="s">
        <v>12</v>
      </c>
      <c r="J94" s="609"/>
      <c r="N94" s="8">
        <f>N93-M93</f>
        <v>90</v>
      </c>
    </row>
    <row r="95" spans="1:16" s="8" customFormat="1" ht="14.25" thickTop="1" thickBot="1">
      <c r="A95" s="105"/>
      <c r="B95" s="586">
        <v>96545</v>
      </c>
      <c r="C95" s="594" t="s">
        <v>854</v>
      </c>
      <c r="D95" s="758" t="s">
        <v>838</v>
      </c>
      <c r="E95" s="759"/>
      <c r="F95" s="759"/>
      <c r="G95" s="760"/>
      <c r="H95" s="588">
        <f>'RESUMO.ESTR.'!H31</f>
        <v>3153.9802</v>
      </c>
      <c r="I95" s="589" t="s">
        <v>12</v>
      </c>
      <c r="J95" s="609"/>
    </row>
    <row r="96" spans="1:16" s="8" customFormat="1" ht="14.25" thickTop="1" thickBot="1">
      <c r="A96" s="105"/>
      <c r="B96" s="586">
        <v>96546</v>
      </c>
      <c r="C96" s="594" t="s">
        <v>855</v>
      </c>
      <c r="D96" s="758" t="s">
        <v>838</v>
      </c>
      <c r="E96" s="759"/>
      <c r="F96" s="759"/>
      <c r="G96" s="760"/>
      <c r="H96" s="588">
        <f>'RESUMO.ESTR.'!H32</f>
        <v>199.43908000000002</v>
      </c>
      <c r="I96" s="589" t="s">
        <v>12</v>
      </c>
      <c r="J96" s="609"/>
    </row>
    <row r="97" spans="1:10" s="8" customFormat="1" ht="27" thickTop="1" thickBot="1">
      <c r="A97" s="105"/>
      <c r="B97" s="586">
        <v>104920</v>
      </c>
      <c r="C97" s="594" t="s">
        <v>856</v>
      </c>
      <c r="D97" s="758" t="s">
        <v>838</v>
      </c>
      <c r="E97" s="759"/>
      <c r="F97" s="759"/>
      <c r="G97" s="760"/>
      <c r="H97" s="588">
        <f>'RESUMO.ESTR.'!H33</f>
        <v>898.06490999999983</v>
      </c>
      <c r="I97" s="589" t="s">
        <v>12</v>
      </c>
      <c r="J97" s="609"/>
    </row>
    <row r="98" spans="1:10" s="8" customFormat="1" ht="27" thickTop="1" thickBot="1">
      <c r="A98" s="105"/>
      <c r="B98" s="586">
        <v>104921</v>
      </c>
      <c r="C98" s="594" t="s">
        <v>857</v>
      </c>
      <c r="D98" s="758" t="s">
        <v>838</v>
      </c>
      <c r="E98" s="759"/>
      <c r="F98" s="759"/>
      <c r="G98" s="760"/>
      <c r="H98" s="588">
        <f>'RESUMO.ESTR.'!H34</f>
        <v>403.33680000000004</v>
      </c>
      <c r="I98" s="589" t="s">
        <v>12</v>
      </c>
      <c r="J98" s="609"/>
    </row>
    <row r="99" spans="1:10" s="8" customFormat="1" ht="27" thickTop="1" thickBot="1">
      <c r="A99" s="105"/>
      <c r="B99" s="586" t="s">
        <v>858</v>
      </c>
      <c r="C99" s="596" t="s">
        <v>859</v>
      </c>
      <c r="D99" s="758" t="s">
        <v>838</v>
      </c>
      <c r="E99" s="759"/>
      <c r="F99" s="759"/>
      <c r="G99" s="760"/>
      <c r="H99" s="588">
        <f>'RESUMO.ESTR.'!H35</f>
        <v>145.11179250000001</v>
      </c>
      <c r="I99" s="589" t="s">
        <v>8</v>
      </c>
      <c r="J99" s="609"/>
    </row>
    <row r="100" spans="1:10" ht="14.25" thickTop="1" thickBot="1">
      <c r="A100" s="105"/>
      <c r="B100" s="597" t="s">
        <v>887</v>
      </c>
      <c r="C100" s="590" t="s">
        <v>34</v>
      </c>
      <c r="D100" s="591"/>
      <c r="E100" s="591"/>
      <c r="F100" s="591"/>
      <c r="G100" s="591"/>
      <c r="H100" s="591"/>
      <c r="I100" s="592"/>
      <c r="J100" s="2">
        <v>5</v>
      </c>
    </row>
    <row r="101" spans="1:10" s="8" customFormat="1" ht="14.25" thickTop="1" thickBot="1">
      <c r="A101" s="105"/>
      <c r="B101" s="586">
        <v>96619</v>
      </c>
      <c r="C101" s="587" t="s">
        <v>850</v>
      </c>
      <c r="D101" s="758" t="s">
        <v>838</v>
      </c>
      <c r="E101" s="759"/>
      <c r="F101" s="759"/>
      <c r="G101" s="760"/>
      <c r="H101" s="588">
        <f>'RESUMO.ESTR.'!H37</f>
        <v>251.30099999999993</v>
      </c>
      <c r="I101" s="589" t="s">
        <v>9</v>
      </c>
      <c r="J101" s="609"/>
    </row>
    <row r="102" spans="1:10" s="8" customFormat="1" ht="27" thickTop="1" thickBot="1">
      <c r="A102" s="105"/>
      <c r="B102" s="586">
        <v>96536</v>
      </c>
      <c r="C102" s="587" t="s">
        <v>860</v>
      </c>
      <c r="D102" s="758" t="s">
        <v>838</v>
      </c>
      <c r="E102" s="759"/>
      <c r="F102" s="759"/>
      <c r="G102" s="760"/>
      <c r="H102" s="588">
        <f>'RESUMO.ESTR.'!H38</f>
        <v>1288.8279999999991</v>
      </c>
      <c r="I102" s="589" t="s">
        <v>9</v>
      </c>
      <c r="J102" s="609"/>
    </row>
    <row r="103" spans="1:10" s="8" customFormat="1" ht="27" thickTop="1" thickBot="1">
      <c r="A103" s="105"/>
      <c r="B103" s="586">
        <v>92759</v>
      </c>
      <c r="C103" s="594" t="s">
        <v>861</v>
      </c>
      <c r="D103" s="758" t="s">
        <v>838</v>
      </c>
      <c r="E103" s="759"/>
      <c r="F103" s="759"/>
      <c r="G103" s="760"/>
      <c r="H103" s="588">
        <f>'RESUMO.ESTR.'!H39</f>
        <v>568.18453999999906</v>
      </c>
      <c r="I103" s="589" t="s">
        <v>12</v>
      </c>
      <c r="J103" s="609"/>
    </row>
    <row r="104" spans="1:10" s="8" customFormat="1" ht="27" thickTop="1" thickBot="1">
      <c r="A104" s="105"/>
      <c r="B104" s="586">
        <v>92761</v>
      </c>
      <c r="C104" s="594" t="s">
        <v>862</v>
      </c>
      <c r="D104" s="758" t="s">
        <v>838</v>
      </c>
      <c r="E104" s="759"/>
      <c r="F104" s="759"/>
      <c r="G104" s="760"/>
      <c r="H104" s="588">
        <f>'RESUMO.ESTR.'!H40</f>
        <v>4.6452</v>
      </c>
      <c r="I104" s="589" t="s">
        <v>12</v>
      </c>
      <c r="J104" s="609"/>
    </row>
    <row r="105" spans="1:10" ht="27" thickTop="1" thickBot="1">
      <c r="A105" s="105"/>
      <c r="B105" s="586">
        <v>92762</v>
      </c>
      <c r="C105" s="594" t="s">
        <v>863</v>
      </c>
      <c r="D105" s="758" t="s">
        <v>838</v>
      </c>
      <c r="E105" s="759"/>
      <c r="F105" s="759"/>
      <c r="G105" s="760"/>
      <c r="H105" s="588">
        <f>'RESUMO.ESTR.'!H41</f>
        <v>781.02327999999943</v>
      </c>
      <c r="I105" s="589" t="s">
        <v>12</v>
      </c>
      <c r="J105" s="9"/>
    </row>
    <row r="106" spans="1:10" ht="27" thickTop="1" thickBot="1">
      <c r="A106" s="105"/>
      <c r="B106" s="586">
        <v>92763</v>
      </c>
      <c r="C106" s="594" t="s">
        <v>864</v>
      </c>
      <c r="D106" s="758" t="s">
        <v>838</v>
      </c>
      <c r="E106" s="759"/>
      <c r="F106" s="759"/>
      <c r="G106" s="760"/>
      <c r="H106" s="588">
        <f>'RESUMO.ESTR.'!H42</f>
        <v>680.34023999999988</v>
      </c>
      <c r="I106" s="589" t="s">
        <v>12</v>
      </c>
      <c r="J106" s="9"/>
    </row>
    <row r="107" spans="1:10" ht="27" thickTop="1" thickBot="1">
      <c r="A107" s="105"/>
      <c r="B107" s="586">
        <v>92764</v>
      </c>
      <c r="C107" s="594" t="s">
        <v>865</v>
      </c>
      <c r="D107" s="758" t="s">
        <v>838</v>
      </c>
      <c r="E107" s="759"/>
      <c r="F107" s="759"/>
      <c r="G107" s="760"/>
      <c r="H107" s="588">
        <f>'RESUMO.ESTR.'!H43</f>
        <v>861.90359999999976</v>
      </c>
      <c r="I107" s="589" t="s">
        <v>12</v>
      </c>
      <c r="J107" s="9"/>
    </row>
    <row r="108" spans="1:10" ht="27" thickTop="1" thickBot="1">
      <c r="A108" s="105"/>
      <c r="B108" s="586">
        <v>92765</v>
      </c>
      <c r="C108" s="594" t="s">
        <v>866</v>
      </c>
      <c r="D108" s="758" t="s">
        <v>838</v>
      </c>
      <c r="E108" s="759"/>
      <c r="F108" s="759"/>
      <c r="G108" s="760"/>
      <c r="H108" s="588">
        <f>'RESUMO.ESTR.'!H44</f>
        <v>549.17820000000006</v>
      </c>
      <c r="I108" s="589" t="s">
        <v>12</v>
      </c>
      <c r="J108" s="9"/>
    </row>
    <row r="109" spans="1:10" s="8" customFormat="1" ht="27" thickTop="1" thickBot="1">
      <c r="A109" s="105"/>
      <c r="B109" s="586">
        <v>104916</v>
      </c>
      <c r="C109" s="587" t="s">
        <v>867</v>
      </c>
      <c r="D109" s="758" t="s">
        <v>838</v>
      </c>
      <c r="E109" s="759"/>
      <c r="F109" s="759"/>
      <c r="G109" s="760"/>
      <c r="H109" s="588">
        <f>'RESUMO.ESTR.'!H45</f>
        <v>1176.9973599999989</v>
      </c>
      <c r="I109" s="589" t="s">
        <v>12</v>
      </c>
      <c r="J109" s="609"/>
    </row>
    <row r="110" spans="1:10" s="8" customFormat="1" ht="27" thickTop="1" thickBot="1">
      <c r="A110" s="105"/>
      <c r="B110" s="586">
        <v>104917</v>
      </c>
      <c r="C110" s="587" t="s">
        <v>868</v>
      </c>
      <c r="D110" s="758" t="s">
        <v>838</v>
      </c>
      <c r="E110" s="759"/>
      <c r="F110" s="759"/>
      <c r="G110" s="760"/>
      <c r="H110" s="588">
        <f>'RESUMO.ESTR.'!H46</f>
        <v>1.0437000000000001</v>
      </c>
      <c r="I110" s="589" t="s">
        <v>12</v>
      </c>
      <c r="J110" s="609"/>
    </row>
    <row r="111" spans="1:10" s="8" customFormat="1" ht="27" thickTop="1" thickBot="1">
      <c r="A111" s="105"/>
      <c r="B111" s="586">
        <v>104918</v>
      </c>
      <c r="C111" s="587" t="s">
        <v>869</v>
      </c>
      <c r="D111" s="758" t="s">
        <v>838</v>
      </c>
      <c r="E111" s="759"/>
      <c r="F111" s="759"/>
      <c r="G111" s="760"/>
      <c r="H111" s="588">
        <f>'RESUMO.ESTR.'!H47</f>
        <v>2304.2245999999973</v>
      </c>
      <c r="I111" s="589" t="s">
        <v>12</v>
      </c>
      <c r="J111" s="609"/>
    </row>
    <row r="112" spans="1:10" s="8" customFormat="1" ht="27" thickTop="1" thickBot="1">
      <c r="A112" s="105"/>
      <c r="B112" s="586">
        <v>104919</v>
      </c>
      <c r="C112" s="587" t="s">
        <v>870</v>
      </c>
      <c r="D112" s="758" t="s">
        <v>838</v>
      </c>
      <c r="E112" s="759"/>
      <c r="F112" s="759"/>
      <c r="G112" s="760"/>
      <c r="H112" s="588">
        <f>'RESUMO.ESTR.'!H48</f>
        <v>1208.9991600000003</v>
      </c>
      <c r="I112" s="589" t="s">
        <v>12</v>
      </c>
      <c r="J112" s="609"/>
    </row>
    <row r="113" spans="1:11" s="8" customFormat="1" ht="30.6" customHeight="1" thickTop="1" thickBot="1">
      <c r="A113" s="105"/>
      <c r="B113" s="586">
        <v>104920</v>
      </c>
      <c r="C113" s="599" t="s">
        <v>856</v>
      </c>
      <c r="D113" s="758" t="s">
        <v>838</v>
      </c>
      <c r="E113" s="759"/>
      <c r="F113" s="759"/>
      <c r="G113" s="760"/>
      <c r="H113" s="588">
        <f>'RESUMO.ESTR.'!H49</f>
        <v>272.50973999999991</v>
      </c>
      <c r="I113" s="589" t="s">
        <v>8</v>
      </c>
      <c r="J113" s="609"/>
    </row>
    <row r="114" spans="1:11" s="8" customFormat="1" ht="30.6" customHeight="1" thickTop="1" thickBot="1">
      <c r="A114" s="105"/>
      <c r="B114" s="586">
        <v>104921</v>
      </c>
      <c r="C114" s="599" t="s">
        <v>857</v>
      </c>
      <c r="D114" s="758" t="s">
        <v>838</v>
      </c>
      <c r="E114" s="759"/>
      <c r="F114" s="759"/>
      <c r="G114" s="760"/>
      <c r="H114" s="588">
        <f>'RESUMO.ESTR.'!H50</f>
        <v>7.4797200000000004</v>
      </c>
      <c r="I114" s="589" t="s">
        <v>8</v>
      </c>
      <c r="J114" s="609"/>
    </row>
    <row r="115" spans="1:11" s="8" customFormat="1" ht="27" thickTop="1" thickBot="1">
      <c r="A115" s="105"/>
      <c r="B115" s="586" t="s">
        <v>858</v>
      </c>
      <c r="C115" s="596" t="s">
        <v>859</v>
      </c>
      <c r="D115" s="758" t="s">
        <v>838</v>
      </c>
      <c r="E115" s="759"/>
      <c r="F115" s="759"/>
      <c r="G115" s="760"/>
      <c r="H115" s="588">
        <f>'RESUMO.ESTR.'!H51</f>
        <v>100.76130000000001</v>
      </c>
      <c r="I115" s="589" t="s">
        <v>8</v>
      </c>
      <c r="J115" s="609"/>
    </row>
    <row r="116" spans="1:11" ht="30" customHeight="1" thickTop="1" thickBot="1">
      <c r="A116" s="105"/>
      <c r="B116" s="103">
        <v>5</v>
      </c>
      <c r="C116" s="654" t="s">
        <v>871</v>
      </c>
      <c r="D116" s="655"/>
      <c r="E116" s="655"/>
      <c r="F116" s="655"/>
      <c r="G116" s="655"/>
      <c r="H116" s="655"/>
      <c r="I116" s="656"/>
      <c r="J116" s="609">
        <v>6</v>
      </c>
    </row>
    <row r="117" spans="1:11" ht="30" customHeight="1" thickTop="1" thickBot="1">
      <c r="A117" s="105"/>
      <c r="B117" s="600" t="s">
        <v>841</v>
      </c>
      <c r="C117" s="590" t="s">
        <v>872</v>
      </c>
      <c r="D117" s="591"/>
      <c r="E117" s="591"/>
      <c r="F117" s="591"/>
      <c r="G117" s="591"/>
      <c r="H117" s="591"/>
      <c r="I117" s="592"/>
      <c r="J117" s="609">
        <v>6</v>
      </c>
    </row>
    <row r="118" spans="1:11" ht="27" thickTop="1" thickBot="1">
      <c r="A118" s="105"/>
      <c r="B118" s="586">
        <v>92443</v>
      </c>
      <c r="C118" s="587" t="s">
        <v>873</v>
      </c>
      <c r="D118" s="758" t="s">
        <v>838</v>
      </c>
      <c r="E118" s="759"/>
      <c r="F118" s="759"/>
      <c r="G118" s="760"/>
      <c r="H118" s="588">
        <f>'RESUMO.ESTR.'!H54</f>
        <v>1185.1400000000012</v>
      </c>
      <c r="I118" s="589" t="s">
        <v>9</v>
      </c>
      <c r="J118" s="609"/>
      <c r="K118" s="8"/>
    </row>
    <row r="119" spans="1:11" ht="27" thickTop="1" thickBot="1">
      <c r="A119" s="105"/>
      <c r="B119" s="602" t="s">
        <v>874</v>
      </c>
      <c r="C119" s="603" t="s">
        <v>875</v>
      </c>
      <c r="D119" s="844" t="s">
        <v>838</v>
      </c>
      <c r="E119" s="845"/>
      <c r="F119" s="845"/>
      <c r="G119" s="846"/>
      <c r="H119" s="588">
        <f>'RESUMO.ESTR.'!H55</f>
        <v>1855.4184000000007</v>
      </c>
      <c r="I119" s="605" t="s">
        <v>9</v>
      </c>
      <c r="J119" s="609"/>
      <c r="K119" s="8"/>
    </row>
    <row r="120" spans="1:11" s="8" customFormat="1" ht="27" thickTop="1" thickBot="1">
      <c r="A120" s="105"/>
      <c r="B120" s="586">
        <v>92759</v>
      </c>
      <c r="C120" s="594" t="s">
        <v>861</v>
      </c>
      <c r="D120" s="758" t="s">
        <v>838</v>
      </c>
      <c r="E120" s="759"/>
      <c r="F120" s="759"/>
      <c r="G120" s="760"/>
      <c r="H120" s="588">
        <f>'RESUMO.ESTR.'!H56</f>
        <v>4635.0042199999971</v>
      </c>
      <c r="I120" s="589" t="s">
        <v>12</v>
      </c>
      <c r="J120" s="609"/>
    </row>
    <row r="121" spans="1:11" ht="27" thickTop="1" thickBot="1">
      <c r="A121" s="105"/>
      <c r="B121" s="586">
        <v>92760</v>
      </c>
      <c r="C121" s="606" t="s">
        <v>876</v>
      </c>
      <c r="D121" s="758" t="s">
        <v>838</v>
      </c>
      <c r="E121" s="759"/>
      <c r="F121" s="759"/>
      <c r="G121" s="760"/>
      <c r="H121" s="588">
        <f>'RESUMO.ESTR.'!H57</f>
        <v>136.39885000000004</v>
      </c>
      <c r="I121" s="605" t="s">
        <v>12</v>
      </c>
      <c r="J121" s="609"/>
    </row>
    <row r="122" spans="1:11" ht="27" thickTop="1" thickBot="1">
      <c r="A122" s="105"/>
      <c r="B122" s="586">
        <v>92761</v>
      </c>
      <c r="C122" s="594" t="s">
        <v>862</v>
      </c>
      <c r="D122" s="758" t="s">
        <v>838</v>
      </c>
      <c r="E122" s="759"/>
      <c r="F122" s="759"/>
      <c r="G122" s="760"/>
      <c r="H122" s="588">
        <f>'RESUMO.ESTR.'!H58</f>
        <v>1813.8360500000006</v>
      </c>
      <c r="I122" s="605" t="s">
        <v>12</v>
      </c>
      <c r="J122" s="609"/>
    </row>
    <row r="123" spans="1:11" ht="27" thickTop="1" thickBot="1">
      <c r="A123" s="105"/>
      <c r="B123" s="586">
        <v>92762</v>
      </c>
      <c r="C123" s="594" t="s">
        <v>863</v>
      </c>
      <c r="D123" s="758" t="s">
        <v>838</v>
      </c>
      <c r="E123" s="759"/>
      <c r="F123" s="759"/>
      <c r="G123" s="760"/>
      <c r="H123" s="588">
        <f>'RESUMO.ESTR.'!H59</f>
        <v>5137.8762299999989</v>
      </c>
      <c r="I123" s="605" t="s">
        <v>12</v>
      </c>
      <c r="J123" s="609"/>
    </row>
    <row r="124" spans="1:11" ht="27" thickTop="1" thickBot="1">
      <c r="A124" s="105"/>
      <c r="B124" s="586">
        <v>92763</v>
      </c>
      <c r="C124" s="594" t="s">
        <v>864</v>
      </c>
      <c r="D124" s="758" t="s">
        <v>838</v>
      </c>
      <c r="E124" s="759"/>
      <c r="F124" s="759"/>
      <c r="G124" s="760"/>
      <c r="H124" s="588">
        <f>'RESUMO.ESTR.'!H60</f>
        <v>4939.255890000004</v>
      </c>
      <c r="I124" s="605" t="s">
        <v>12</v>
      </c>
      <c r="J124" s="609"/>
    </row>
    <row r="125" spans="1:11" s="612" customFormat="1" ht="27" thickTop="1" thickBot="1">
      <c r="A125" s="105"/>
      <c r="B125" s="586">
        <v>92764</v>
      </c>
      <c r="C125" s="594" t="s">
        <v>865</v>
      </c>
      <c r="D125" s="758" t="s">
        <v>838</v>
      </c>
      <c r="E125" s="759"/>
      <c r="F125" s="759"/>
      <c r="G125" s="760"/>
      <c r="H125" s="588">
        <f>'RESUMO.ESTR.'!H61</f>
        <v>4263.0301200000013</v>
      </c>
      <c r="I125" s="605" t="s">
        <v>12</v>
      </c>
      <c r="J125" s="611"/>
    </row>
    <row r="126" spans="1:11" s="612" customFormat="1" ht="27" thickTop="1" thickBot="1">
      <c r="A126" s="105"/>
      <c r="B126" s="586">
        <v>92765</v>
      </c>
      <c r="C126" s="594" t="s">
        <v>866</v>
      </c>
      <c r="D126" s="758" t="s">
        <v>838</v>
      </c>
      <c r="E126" s="759"/>
      <c r="F126" s="759"/>
      <c r="G126" s="760"/>
      <c r="H126" s="588">
        <f>'RESUMO.ESTR.'!H62</f>
        <v>2025.5097200000002</v>
      </c>
      <c r="I126" s="605" t="s">
        <v>12</v>
      </c>
      <c r="J126" s="611"/>
    </row>
    <row r="127" spans="1:11" s="612" customFormat="1" ht="27" thickTop="1" thickBot="1">
      <c r="A127" s="105"/>
      <c r="B127" s="586">
        <v>92766</v>
      </c>
      <c r="C127" s="599" t="s">
        <v>878</v>
      </c>
      <c r="D127" s="758" t="s">
        <v>838</v>
      </c>
      <c r="E127" s="759"/>
      <c r="F127" s="759"/>
      <c r="G127" s="760"/>
      <c r="H127" s="588">
        <f>'RESUMO.ESTR.'!H63</f>
        <v>377.68500000000006</v>
      </c>
      <c r="I127" s="605" t="s">
        <v>12</v>
      </c>
      <c r="J127" s="611"/>
    </row>
    <row r="128" spans="1:11" s="612" customFormat="1" ht="14.25" thickTop="1" thickBot="1">
      <c r="A128" s="105"/>
      <c r="B128" s="586">
        <v>103669</v>
      </c>
      <c r="C128" s="599" t="s">
        <v>879</v>
      </c>
      <c r="D128" s="758" t="s">
        <v>838</v>
      </c>
      <c r="E128" s="759"/>
      <c r="F128" s="759"/>
      <c r="G128" s="760"/>
      <c r="H128" s="588">
        <f>'RESUMO.ESTR.'!H64</f>
        <v>81.037250000000256</v>
      </c>
      <c r="I128" s="589" t="s">
        <v>8</v>
      </c>
      <c r="J128" s="611"/>
    </row>
    <row r="129" spans="1:26" ht="27" thickTop="1" thickBot="1">
      <c r="A129" s="105"/>
      <c r="B129" s="586">
        <v>103682</v>
      </c>
      <c r="C129" s="596" t="s">
        <v>880</v>
      </c>
      <c r="D129" s="758" t="s">
        <v>838</v>
      </c>
      <c r="E129" s="759"/>
      <c r="F129" s="759"/>
      <c r="G129" s="760"/>
      <c r="H129" s="588">
        <f>'RESUMO.ESTR.'!H65</f>
        <v>150.05667500000007</v>
      </c>
      <c r="I129" s="589" t="s">
        <v>8</v>
      </c>
      <c r="J129" s="609"/>
    </row>
    <row r="130" spans="1:26" s="617" customFormat="1" ht="12.75" customHeight="1" thickTop="1" thickBot="1">
      <c r="A130" s="614"/>
      <c r="B130" s="615" t="s">
        <v>848</v>
      </c>
      <c r="C130" s="651" t="s">
        <v>881</v>
      </c>
      <c r="D130" s="652"/>
      <c r="E130" s="652"/>
      <c r="F130" s="652"/>
      <c r="G130" s="652"/>
      <c r="H130" s="652"/>
      <c r="I130" s="653"/>
      <c r="J130" s="616"/>
      <c r="K130" s="614"/>
      <c r="L130" s="614"/>
      <c r="M130" s="614"/>
      <c r="N130" s="614"/>
      <c r="O130" s="614"/>
      <c r="P130" s="614"/>
      <c r="Q130" s="614"/>
      <c r="R130" s="614"/>
      <c r="S130" s="614"/>
      <c r="T130" s="614"/>
      <c r="U130" s="614"/>
      <c r="V130" s="614"/>
      <c r="W130" s="614"/>
      <c r="X130" s="614"/>
      <c r="Y130" s="614"/>
      <c r="Z130" s="614"/>
    </row>
    <row r="131" spans="1:26" s="617" customFormat="1" ht="27" customHeight="1" thickTop="1" thickBot="1">
      <c r="A131" s="614"/>
      <c r="B131" s="618">
        <v>92514</v>
      </c>
      <c r="C131" s="619" t="s">
        <v>882</v>
      </c>
      <c r="D131" s="847" t="s">
        <v>838</v>
      </c>
      <c r="E131" s="848"/>
      <c r="F131" s="848"/>
      <c r="G131" s="849"/>
      <c r="H131" s="588">
        <f>'RESUMO.ESTR.'!H67</f>
        <v>156.52800000000002</v>
      </c>
      <c r="I131" s="621" t="s">
        <v>9</v>
      </c>
      <c r="J131" s="622"/>
      <c r="K131" s="614"/>
      <c r="L131" s="614"/>
      <c r="M131" s="614"/>
      <c r="N131" s="614"/>
      <c r="O131" s="614"/>
      <c r="P131" s="614"/>
      <c r="Q131" s="614"/>
      <c r="R131" s="614"/>
      <c r="S131" s="614"/>
      <c r="T131" s="614"/>
      <c r="U131" s="614"/>
      <c r="V131" s="614"/>
      <c r="W131" s="614"/>
      <c r="X131" s="614"/>
      <c r="Y131" s="614"/>
      <c r="Z131" s="614"/>
    </row>
    <row r="132" spans="1:26" s="617" customFormat="1" ht="27" thickTop="1" thickBot="1">
      <c r="A132" s="614"/>
      <c r="B132" s="618">
        <v>92768</v>
      </c>
      <c r="C132" s="619" t="s">
        <v>883</v>
      </c>
      <c r="D132" s="847" t="s">
        <v>838</v>
      </c>
      <c r="E132" s="848"/>
      <c r="F132" s="848"/>
      <c r="G132" s="849"/>
      <c r="H132" s="588">
        <f>'RESUMO.ESTR.'!H68</f>
        <v>84.927919999999986</v>
      </c>
      <c r="I132" s="621" t="s">
        <v>12</v>
      </c>
      <c r="J132" s="623"/>
      <c r="K132" s="614"/>
      <c r="L132" s="614"/>
      <c r="M132" s="614"/>
      <c r="N132" s="614"/>
      <c r="O132" s="614"/>
      <c r="P132" s="614"/>
      <c r="Q132" s="614"/>
      <c r="R132" s="614"/>
      <c r="S132" s="614"/>
      <c r="T132" s="614"/>
      <c r="U132" s="614"/>
      <c r="V132" s="614"/>
      <c r="W132" s="614"/>
      <c r="X132" s="614"/>
      <c r="Y132" s="614"/>
      <c r="Z132" s="614"/>
    </row>
    <row r="133" spans="1:26" s="617" customFormat="1" ht="27" thickTop="1" thickBot="1">
      <c r="A133" s="614"/>
      <c r="B133" s="618">
        <v>92769</v>
      </c>
      <c r="C133" s="619" t="s">
        <v>884</v>
      </c>
      <c r="D133" s="847" t="s">
        <v>838</v>
      </c>
      <c r="E133" s="848"/>
      <c r="F133" s="848"/>
      <c r="G133" s="849"/>
      <c r="H133" s="588">
        <f>'RESUMO.ESTR.'!H69</f>
        <v>354.48314999999991</v>
      </c>
      <c r="I133" s="621" t="s">
        <v>12</v>
      </c>
      <c r="J133" s="623"/>
      <c r="K133" s="614"/>
      <c r="L133" s="614"/>
      <c r="M133" s="614"/>
      <c r="N133" s="614"/>
      <c r="O133" s="614"/>
      <c r="P133" s="614"/>
      <c r="Q133" s="614"/>
      <c r="R133" s="614"/>
      <c r="S133" s="614"/>
      <c r="T133" s="614"/>
      <c r="U133" s="614"/>
      <c r="V133" s="614"/>
      <c r="W133" s="614"/>
      <c r="X133" s="614"/>
      <c r="Y133" s="614"/>
      <c r="Z133" s="614"/>
    </row>
    <row r="134" spans="1:26" s="617" customFormat="1" ht="27" thickTop="1" thickBot="1">
      <c r="A134" s="614"/>
      <c r="B134" s="586">
        <v>103682</v>
      </c>
      <c r="C134" s="596" t="s">
        <v>880</v>
      </c>
      <c r="D134" s="847" t="s">
        <v>838</v>
      </c>
      <c r="E134" s="848"/>
      <c r="F134" s="848"/>
      <c r="G134" s="849"/>
      <c r="H134" s="588">
        <f>'RESUMO.ESTR.'!H70</f>
        <v>15.48986</v>
      </c>
      <c r="I134" s="621" t="s">
        <v>12</v>
      </c>
      <c r="J134" s="623"/>
      <c r="K134" s="614"/>
      <c r="L134" s="614"/>
      <c r="M134" s="614"/>
      <c r="N134" s="614"/>
      <c r="O134" s="614"/>
      <c r="P134" s="614"/>
      <c r="Q134" s="614"/>
      <c r="R134" s="614"/>
      <c r="S134" s="614"/>
      <c r="T134" s="614"/>
      <c r="U134" s="614"/>
      <c r="V134" s="614"/>
      <c r="W134" s="614"/>
      <c r="X134" s="614"/>
      <c r="Y134" s="614"/>
      <c r="Z134" s="614"/>
    </row>
    <row r="135" spans="1:26" ht="14.25" thickTop="1" thickBot="1">
      <c r="B135" s="103">
        <v>6</v>
      </c>
      <c r="C135" s="388" t="s">
        <v>119</v>
      </c>
      <c r="D135" s="389"/>
      <c r="E135" s="389"/>
      <c r="F135" s="389"/>
      <c r="G135" s="389"/>
      <c r="H135" s="389"/>
      <c r="I135" s="390"/>
      <c r="J135" s="6"/>
    </row>
    <row r="136" spans="1:26" ht="14.25" thickTop="1" thickBot="1">
      <c r="B136" s="436">
        <v>105021</v>
      </c>
      <c r="C136" s="437" t="s">
        <v>635</v>
      </c>
      <c r="D136" s="699" t="s">
        <v>121</v>
      </c>
      <c r="E136" s="752"/>
      <c r="F136" s="752"/>
      <c r="G136" s="753"/>
      <c r="H136" s="607">
        <f>'RESUMO.ALV.'!E17</f>
        <v>71.099999999999994</v>
      </c>
      <c r="I136" s="435" t="s">
        <v>1</v>
      </c>
      <c r="J136" s="6"/>
      <c r="L136" s="386"/>
      <c r="M136" s="386"/>
      <c r="N136" s="386"/>
      <c r="O136" s="386"/>
      <c r="P136" s="386"/>
      <c r="Q136" s="386"/>
      <c r="R136" s="386"/>
      <c r="S136" s="386"/>
      <c r="T136" s="386"/>
    </row>
    <row r="137" spans="1:26" ht="14.25" thickTop="1" thickBot="1">
      <c r="B137" s="436">
        <v>105023</v>
      </c>
      <c r="C137" s="437" t="s">
        <v>636</v>
      </c>
      <c r="D137" s="699" t="s">
        <v>121</v>
      </c>
      <c r="E137" s="752"/>
      <c r="F137" s="752"/>
      <c r="G137" s="753"/>
      <c r="H137" s="607">
        <f>'RESUMO.ALV.'!E18</f>
        <v>29.7</v>
      </c>
      <c r="I137" s="435" t="s">
        <v>1</v>
      </c>
      <c r="J137" s="6"/>
      <c r="L137" s="386"/>
      <c r="M137" s="386"/>
      <c r="N137" s="386"/>
      <c r="O137" s="386"/>
      <c r="P137" s="386"/>
      <c r="Q137" s="386"/>
      <c r="R137" s="386"/>
      <c r="S137" s="386"/>
      <c r="T137" s="386"/>
    </row>
    <row r="138" spans="1:26" ht="14.25" thickTop="1" thickBot="1">
      <c r="B138" s="436">
        <v>105027</v>
      </c>
      <c r="C138" s="114" t="s">
        <v>637</v>
      </c>
      <c r="D138" s="699" t="s">
        <v>121</v>
      </c>
      <c r="E138" s="752"/>
      <c r="F138" s="752"/>
      <c r="G138" s="753"/>
      <c r="H138" s="607">
        <f>'RESUMO.ALV.'!E16</f>
        <v>322.29999999999995</v>
      </c>
      <c r="I138" s="435" t="s">
        <v>1</v>
      </c>
      <c r="J138" s="6"/>
      <c r="L138" s="386"/>
      <c r="M138" s="386"/>
      <c r="N138" s="386"/>
      <c r="O138" s="386"/>
      <c r="P138" s="386"/>
      <c r="Q138" s="386"/>
      <c r="R138" s="386"/>
      <c r="S138" s="386"/>
      <c r="T138" s="386"/>
    </row>
    <row r="139" spans="1:26" ht="27" thickTop="1" thickBot="1">
      <c r="B139" s="436">
        <v>103328</v>
      </c>
      <c r="C139" s="458" t="s">
        <v>553</v>
      </c>
      <c r="D139" s="725" t="s">
        <v>121</v>
      </c>
      <c r="E139" s="726"/>
      <c r="F139" s="726"/>
      <c r="G139" s="727"/>
      <c r="H139" s="607">
        <f>'RESUMO.ALV.'!E23</f>
        <v>968.80920000000003</v>
      </c>
      <c r="I139" s="435" t="s">
        <v>9</v>
      </c>
      <c r="J139" s="6"/>
      <c r="L139" s="386"/>
      <c r="M139" s="386"/>
      <c r="N139" s="386"/>
      <c r="O139" s="386"/>
      <c r="P139" s="386"/>
      <c r="Q139" s="386"/>
      <c r="R139" s="386"/>
      <c r="S139" s="386"/>
      <c r="T139" s="386"/>
    </row>
    <row r="140" spans="1:26" ht="27" thickTop="1" thickBot="1">
      <c r="B140" s="368">
        <v>103324</v>
      </c>
      <c r="C140" s="366" t="s">
        <v>552</v>
      </c>
      <c r="D140" s="725" t="s">
        <v>121</v>
      </c>
      <c r="E140" s="726"/>
      <c r="F140" s="726"/>
      <c r="G140" s="727"/>
      <c r="H140" s="588">
        <f>'RESUMO.ALV.'!E24</f>
        <v>2237.0833999999995</v>
      </c>
      <c r="I140" s="367" t="s">
        <v>9</v>
      </c>
      <c r="J140" s="6"/>
      <c r="L140" s="386"/>
      <c r="M140" s="386"/>
      <c r="N140" s="386"/>
      <c r="O140" s="386"/>
      <c r="P140" s="386"/>
      <c r="Q140" s="386"/>
      <c r="R140" s="386"/>
      <c r="S140" s="386"/>
      <c r="T140" s="386"/>
    </row>
    <row r="141" spans="1:26" ht="27" thickTop="1" thickBot="1">
      <c r="B141" s="443">
        <v>103326</v>
      </c>
      <c r="C141" s="442" t="s">
        <v>554</v>
      </c>
      <c r="D141" s="701" t="s">
        <v>121</v>
      </c>
      <c r="E141" s="754"/>
      <c r="F141" s="754"/>
      <c r="G141" s="755"/>
      <c r="H141" s="604">
        <f>'RESUMO.ALV.'!E25</f>
        <v>10.872</v>
      </c>
      <c r="I141" s="450" t="s">
        <v>9</v>
      </c>
      <c r="J141" s="6"/>
      <c r="L141" s="386"/>
      <c r="M141" s="386"/>
      <c r="N141" s="386"/>
      <c r="O141" s="386"/>
      <c r="P141" s="386"/>
      <c r="Q141" s="386" t="s">
        <v>558</v>
      </c>
      <c r="R141" s="386" t="s">
        <v>558</v>
      </c>
      <c r="S141" s="386" t="s">
        <v>558</v>
      </c>
      <c r="T141" s="386" t="s">
        <v>558</v>
      </c>
    </row>
    <row r="142" spans="1:26" ht="16.5" customHeight="1" thickTop="1" thickBot="1">
      <c r="B142" s="443">
        <v>93202</v>
      </c>
      <c r="C142" s="366" t="s">
        <v>559</v>
      </c>
      <c r="D142" s="725" t="s">
        <v>121</v>
      </c>
      <c r="E142" s="726"/>
      <c r="F142" s="726"/>
      <c r="G142" s="727"/>
      <c r="H142" s="588">
        <f>'RESUMO.ALV.'!E15</f>
        <v>1580.3299999999974</v>
      </c>
      <c r="I142" s="367" t="s">
        <v>1</v>
      </c>
      <c r="J142" s="6"/>
      <c r="L142" s="386"/>
      <c r="M142" s="386"/>
      <c r="N142" s="386"/>
      <c r="O142" s="386"/>
      <c r="P142" s="386"/>
      <c r="Q142" s="386"/>
      <c r="R142" s="386"/>
      <c r="S142" s="386"/>
      <c r="T142" s="386"/>
    </row>
    <row r="143" spans="1:26" ht="42.75" customHeight="1" thickTop="1" thickBot="1">
      <c r="B143" s="443">
        <v>101161</v>
      </c>
      <c r="C143" s="366" t="s">
        <v>557</v>
      </c>
      <c r="D143" s="699" t="s">
        <v>121</v>
      </c>
      <c r="E143" s="752"/>
      <c r="F143" s="752"/>
      <c r="G143" s="753"/>
      <c r="H143" s="588">
        <f>'RESUMO.ALV.'!E21</f>
        <v>424.73100000000005</v>
      </c>
      <c r="I143" s="367" t="s">
        <v>9</v>
      </c>
      <c r="J143" s="6"/>
      <c r="L143" s="386"/>
      <c r="M143" s="386"/>
      <c r="N143" s="386"/>
      <c r="O143" s="386"/>
      <c r="P143" s="386"/>
      <c r="Q143" s="386" t="s">
        <v>558</v>
      </c>
      <c r="R143" s="386" t="s">
        <v>558</v>
      </c>
      <c r="S143" s="386" t="s">
        <v>558</v>
      </c>
      <c r="T143" s="386" t="s">
        <v>558</v>
      </c>
    </row>
    <row r="144" spans="1:26" ht="27" thickTop="1" thickBot="1">
      <c r="B144" s="451" t="s">
        <v>723</v>
      </c>
      <c r="C144" s="468" t="s">
        <v>722</v>
      </c>
      <c r="D144" s="699" t="s">
        <v>121</v>
      </c>
      <c r="E144" s="752"/>
      <c r="F144" s="752"/>
      <c r="G144" s="753"/>
      <c r="H144" s="663">
        <f>'RESUMO.ALV.'!E22</f>
        <v>6.48</v>
      </c>
      <c r="I144" s="113" t="s">
        <v>9</v>
      </c>
    </row>
    <row r="145" spans="2:9" ht="27" thickTop="1" thickBot="1">
      <c r="B145" s="368">
        <v>102253</v>
      </c>
      <c r="C145" s="453" t="s">
        <v>555</v>
      </c>
      <c r="D145" s="725" t="s">
        <v>121</v>
      </c>
      <c r="E145" s="726"/>
      <c r="F145" s="726"/>
      <c r="G145" s="727"/>
      <c r="H145" s="604">
        <f>'RESUMO.ALV.'!E19</f>
        <v>38.556000000000004</v>
      </c>
      <c r="I145" s="456" t="s">
        <v>9</v>
      </c>
    </row>
    <row r="146" spans="2:9" ht="27" thickTop="1" thickBot="1">
      <c r="B146" s="490">
        <v>102255</v>
      </c>
      <c r="C146" s="366" t="s">
        <v>556</v>
      </c>
      <c r="D146" s="725" t="s">
        <v>121</v>
      </c>
      <c r="E146" s="726"/>
      <c r="F146" s="726"/>
      <c r="G146" s="727"/>
      <c r="H146" s="588">
        <f>'RESUMO.ALV.'!E20</f>
        <v>3.5999999999999996</v>
      </c>
      <c r="I146" s="367" t="s">
        <v>9</v>
      </c>
    </row>
    <row r="147" spans="2:9" ht="27" thickTop="1" thickBot="1">
      <c r="B147" s="505">
        <v>96370</v>
      </c>
      <c r="C147" s="366" t="s">
        <v>818</v>
      </c>
      <c r="D147" s="725" t="s">
        <v>121</v>
      </c>
      <c r="E147" s="726"/>
      <c r="F147" s="726"/>
      <c r="G147" s="727"/>
      <c r="H147" s="588">
        <f>'RESUMO.ALV.'!E26</f>
        <v>100.75080000000007</v>
      </c>
      <c r="I147" s="367" t="s">
        <v>9</v>
      </c>
    </row>
    <row r="148" spans="2:9" ht="27" thickTop="1" thickBot="1">
      <c r="B148" s="443" t="s">
        <v>836</v>
      </c>
      <c r="C148" s="366" t="s">
        <v>835</v>
      </c>
      <c r="D148" s="725" t="s">
        <v>121</v>
      </c>
      <c r="E148" s="726"/>
      <c r="F148" s="726"/>
      <c r="G148" s="727"/>
      <c r="H148" s="588">
        <f>'RESUMO.ALV.'!E27</f>
        <v>231.11</v>
      </c>
      <c r="I148" s="367" t="s">
        <v>9</v>
      </c>
    </row>
    <row r="149" spans="2:9" ht="27" thickTop="1" thickBot="1">
      <c r="B149" s="668" t="s">
        <v>958</v>
      </c>
      <c r="C149" s="366" t="s">
        <v>957</v>
      </c>
      <c r="D149" s="725" t="s">
        <v>121</v>
      </c>
      <c r="E149" s="726"/>
      <c r="F149" s="726"/>
      <c r="G149" s="727"/>
      <c r="H149" s="588">
        <f>'RESUMO.ALV.'!E28</f>
        <v>244.57000000000002</v>
      </c>
      <c r="I149" s="367" t="s">
        <v>9</v>
      </c>
    </row>
    <row r="150" spans="2:9" ht="27" thickTop="1" thickBot="1">
      <c r="B150" s="668" t="s">
        <v>960</v>
      </c>
      <c r="C150" s="366" t="s">
        <v>959</v>
      </c>
      <c r="D150" s="725" t="s">
        <v>121</v>
      </c>
      <c r="E150" s="726"/>
      <c r="F150" s="726"/>
      <c r="G150" s="727"/>
      <c r="H150" s="588">
        <f>'RESUMO.ALV.'!E29</f>
        <v>132.24</v>
      </c>
      <c r="I150" s="367" t="s">
        <v>9</v>
      </c>
    </row>
    <row r="151" spans="2:9" ht="14.25" thickTop="1" thickBot="1">
      <c r="B151" s="103">
        <v>7</v>
      </c>
      <c r="C151" s="388" t="s">
        <v>802</v>
      </c>
      <c r="D151" s="389"/>
      <c r="E151" s="389"/>
      <c r="F151" s="389"/>
      <c r="G151" s="389"/>
      <c r="H151" s="389"/>
      <c r="I151" s="390"/>
    </row>
    <row r="152" spans="2:9" ht="27" thickTop="1" thickBot="1">
      <c r="B152" s="457">
        <v>87879</v>
      </c>
      <c r="C152" s="437" t="s">
        <v>126</v>
      </c>
      <c r="D152" s="850" t="s">
        <v>125</v>
      </c>
      <c r="E152" s="850"/>
      <c r="F152" s="850"/>
      <c r="G152" s="850"/>
      <c r="H152" s="439">
        <f>'RESUMO.REVEST'!E14</f>
        <v>3747.4734999999996</v>
      </c>
      <c r="I152" s="435" t="s">
        <v>9</v>
      </c>
    </row>
    <row r="153" spans="2:9" ht="25.5" customHeight="1" thickTop="1" thickBot="1">
      <c r="B153" s="436">
        <v>87905</v>
      </c>
      <c r="C153" s="437" t="s">
        <v>638</v>
      </c>
      <c r="D153" s="710" t="s">
        <v>125</v>
      </c>
      <c r="E153" s="711"/>
      <c r="F153" s="711"/>
      <c r="G153" s="712"/>
      <c r="H153" s="438">
        <f>'RESUMO.REVEST'!E16</f>
        <v>2598.872550000001</v>
      </c>
      <c r="I153" s="435" t="s">
        <v>9</v>
      </c>
    </row>
    <row r="154" spans="2:9" ht="27" thickTop="1" thickBot="1">
      <c r="B154" s="436">
        <v>87894</v>
      </c>
      <c r="C154" s="437" t="s">
        <v>639</v>
      </c>
      <c r="D154" s="710" t="s">
        <v>125</v>
      </c>
      <c r="E154" s="711"/>
      <c r="F154" s="711"/>
      <c r="G154" s="712"/>
      <c r="H154" s="438">
        <f>'RESUMO.REVEST'!E15</f>
        <v>1941.2361999999998</v>
      </c>
      <c r="I154" s="435" t="s">
        <v>9</v>
      </c>
    </row>
    <row r="155" spans="2:9" ht="27" customHeight="1" thickTop="1" thickBot="1">
      <c r="B155" s="436">
        <v>87547</v>
      </c>
      <c r="C155" s="437" t="s">
        <v>640</v>
      </c>
      <c r="D155" s="710" t="s">
        <v>125</v>
      </c>
      <c r="E155" s="711"/>
      <c r="F155" s="711"/>
      <c r="G155" s="712"/>
      <c r="H155" s="438">
        <f>'RESUMO.REVEST'!E17</f>
        <v>777.6407999999999</v>
      </c>
      <c r="I155" s="435" t="s">
        <v>9</v>
      </c>
    </row>
    <row r="156" spans="2:9" ht="27" thickTop="1" thickBot="1">
      <c r="B156" s="436">
        <v>104958</v>
      </c>
      <c r="C156" s="437" t="s">
        <v>641</v>
      </c>
      <c r="D156" s="710" t="s">
        <v>125</v>
      </c>
      <c r="E156" s="711"/>
      <c r="F156" s="711"/>
      <c r="G156" s="712"/>
      <c r="H156" s="438">
        <f>'RESUMO.REVEST'!E18</f>
        <v>2322.2585999999997</v>
      </c>
      <c r="I156" s="435" t="s">
        <v>9</v>
      </c>
    </row>
    <row r="157" spans="2:9" ht="27" thickTop="1" thickBot="1">
      <c r="B157" s="436">
        <v>87546</v>
      </c>
      <c r="C157" s="437" t="s">
        <v>642</v>
      </c>
      <c r="D157" s="710" t="s">
        <v>125</v>
      </c>
      <c r="E157" s="711"/>
      <c r="F157" s="711"/>
      <c r="G157" s="712"/>
      <c r="H157" s="438">
        <f>'RESUMO.REVEST'!E19</f>
        <v>243.02909999999997</v>
      </c>
      <c r="I157" s="435" t="s">
        <v>9</v>
      </c>
    </row>
    <row r="158" spans="2:9" ht="27" thickTop="1" thickBot="1">
      <c r="B158" s="436">
        <v>87549</v>
      </c>
      <c r="C158" s="437" t="s">
        <v>643</v>
      </c>
      <c r="D158" s="710" t="s">
        <v>125</v>
      </c>
      <c r="E158" s="711"/>
      <c r="F158" s="711"/>
      <c r="G158" s="712"/>
      <c r="H158" s="438">
        <f>'RESUMO.REVEST'!E20</f>
        <v>231.51949999999999</v>
      </c>
      <c r="I158" s="435" t="s">
        <v>9</v>
      </c>
    </row>
    <row r="159" spans="2:9" ht="27" thickTop="1" thickBot="1">
      <c r="B159" s="436">
        <v>87553</v>
      </c>
      <c r="C159" s="437" t="s">
        <v>644</v>
      </c>
      <c r="D159" s="710" t="s">
        <v>125</v>
      </c>
      <c r="E159" s="711"/>
      <c r="F159" s="711"/>
      <c r="G159" s="712"/>
      <c r="H159" s="438">
        <f>'RESUMO.REVEST'!E21</f>
        <v>182.18720000000002</v>
      </c>
      <c r="I159" s="435" t="s">
        <v>9</v>
      </c>
    </row>
    <row r="160" spans="2:9" ht="27" thickTop="1" thickBot="1">
      <c r="B160" s="436">
        <v>87792</v>
      </c>
      <c r="C160" s="437" t="s">
        <v>645</v>
      </c>
      <c r="D160" s="710" t="s">
        <v>125</v>
      </c>
      <c r="E160" s="711"/>
      <c r="F160" s="711"/>
      <c r="G160" s="712"/>
      <c r="H160" s="438">
        <f>'RESUMO.REVEST'!E22</f>
        <v>2522.1254000000004</v>
      </c>
      <c r="I160" s="435" t="s">
        <v>9</v>
      </c>
    </row>
    <row r="161" spans="2:9" ht="27" thickTop="1" thickBot="1">
      <c r="B161" s="436">
        <v>87775</v>
      </c>
      <c r="C161" s="437" t="s">
        <v>646</v>
      </c>
      <c r="D161" s="710" t="s">
        <v>125</v>
      </c>
      <c r="E161" s="711"/>
      <c r="F161" s="711"/>
      <c r="G161" s="712"/>
      <c r="H161" s="661">
        <f>'RESUMO.REVEST'!E23</f>
        <v>2359.9538000000011</v>
      </c>
      <c r="I161" s="367" t="s">
        <v>9</v>
      </c>
    </row>
    <row r="162" spans="2:9" ht="27" thickTop="1" thickBot="1">
      <c r="B162" s="436">
        <v>104615</v>
      </c>
      <c r="C162" s="437" t="s">
        <v>807</v>
      </c>
      <c r="D162" s="710" t="s">
        <v>125</v>
      </c>
      <c r="E162" s="711"/>
      <c r="F162" s="711"/>
      <c r="G162" s="712"/>
      <c r="H162" s="438">
        <f>'RESUMO.REVEST'!E28</f>
        <v>120.5767</v>
      </c>
      <c r="I162" s="435" t="s">
        <v>9</v>
      </c>
    </row>
    <row r="163" spans="2:9" ht="27" thickTop="1" thickBot="1">
      <c r="B163" s="436">
        <v>87273</v>
      </c>
      <c r="C163" s="437" t="s">
        <v>650</v>
      </c>
      <c r="D163" s="710" t="s">
        <v>125</v>
      </c>
      <c r="E163" s="711"/>
      <c r="F163" s="711"/>
      <c r="G163" s="712"/>
      <c r="H163" s="438">
        <f>'RESUMO.REVEST'!E29</f>
        <v>578.81189999999992</v>
      </c>
      <c r="I163" s="435" t="s">
        <v>9</v>
      </c>
    </row>
    <row r="164" spans="2:9" ht="14.25" thickTop="1" thickBot="1">
      <c r="B164" s="103">
        <v>8</v>
      </c>
      <c r="C164" s="388" t="s">
        <v>221</v>
      </c>
      <c r="D164" s="389"/>
      <c r="E164" s="389"/>
      <c r="F164" s="389"/>
      <c r="G164" s="389"/>
      <c r="H164" s="389"/>
      <c r="I164" s="390"/>
    </row>
    <row r="165" spans="2:9" ht="14.25" thickTop="1" thickBot="1">
      <c r="B165" s="106" t="s">
        <v>803</v>
      </c>
      <c r="C165" s="391" t="s">
        <v>131</v>
      </c>
      <c r="D165" s="392"/>
      <c r="E165" s="392"/>
      <c r="F165" s="392"/>
      <c r="G165" s="392"/>
      <c r="H165" s="392"/>
      <c r="I165" s="393"/>
    </row>
    <row r="166" spans="2:9" ht="14.25" thickTop="1" thickBot="1">
      <c r="B166" s="625">
        <v>88497</v>
      </c>
      <c r="C166" s="437" t="s">
        <v>648</v>
      </c>
      <c r="D166" s="710" t="s">
        <v>125</v>
      </c>
      <c r="E166" s="711"/>
      <c r="F166" s="711"/>
      <c r="G166" s="712"/>
      <c r="H166" s="438">
        <f>'RESUMO.REVEST'!E24</f>
        <v>2916.3652999999995</v>
      </c>
      <c r="I166" s="435" t="s">
        <v>9</v>
      </c>
    </row>
    <row r="167" spans="2:9" ht="14.25" thickTop="1" thickBot="1">
      <c r="B167" s="626">
        <v>96135</v>
      </c>
      <c r="C167" s="444" t="s">
        <v>649</v>
      </c>
      <c r="D167" s="710" t="s">
        <v>125</v>
      </c>
      <c r="E167" s="711"/>
      <c r="F167" s="711"/>
      <c r="G167" s="712"/>
      <c r="H167" s="438">
        <f>'RESUMO.REVEST'!E25</f>
        <v>4977.8696999999984</v>
      </c>
      <c r="I167" s="435" t="s">
        <v>9</v>
      </c>
    </row>
    <row r="168" spans="2:9" ht="14.25" thickTop="1" thickBot="1">
      <c r="B168" s="625">
        <v>88485</v>
      </c>
      <c r="C168" s="437" t="s">
        <v>647</v>
      </c>
      <c r="D168" s="710" t="s">
        <v>125</v>
      </c>
      <c r="E168" s="711"/>
      <c r="F168" s="711"/>
      <c r="G168" s="712"/>
      <c r="H168" s="438">
        <f>'RESUMO.REVEST'!E26</f>
        <v>7894.2349999999979</v>
      </c>
      <c r="I168" s="435" t="s">
        <v>9</v>
      </c>
    </row>
    <row r="169" spans="2:9" ht="14.25" thickTop="1" thickBot="1">
      <c r="B169" s="625">
        <v>95626</v>
      </c>
      <c r="C169" s="437" t="s">
        <v>888</v>
      </c>
      <c r="D169" s="710" t="s">
        <v>125</v>
      </c>
      <c r="E169" s="711"/>
      <c r="F169" s="711"/>
      <c r="G169" s="712"/>
      <c r="H169" s="438">
        <f>MEMÓRIA!H167</f>
        <v>4977.8696999999984</v>
      </c>
      <c r="I169" s="435" t="s">
        <v>9</v>
      </c>
    </row>
    <row r="170" spans="2:9" ht="14.25" thickTop="1" thickBot="1">
      <c r="B170" s="625">
        <v>88489</v>
      </c>
      <c r="C170" s="437" t="s">
        <v>651</v>
      </c>
      <c r="D170" s="710" t="s">
        <v>125</v>
      </c>
      <c r="E170" s="711"/>
      <c r="F170" s="711"/>
      <c r="G170" s="712"/>
      <c r="H170" s="438">
        <f>H166</f>
        <v>2916.3652999999995</v>
      </c>
      <c r="I170" s="435" t="s">
        <v>9</v>
      </c>
    </row>
    <row r="171" spans="2:9" ht="16.5" customHeight="1" thickTop="1" thickBot="1">
      <c r="B171" s="473" t="s">
        <v>804</v>
      </c>
      <c r="C171" s="705" t="s">
        <v>729</v>
      </c>
      <c r="D171" s="706"/>
      <c r="E171" s="706"/>
      <c r="F171" s="706"/>
      <c r="G171" s="706"/>
      <c r="H171" s="706"/>
      <c r="I171" s="707"/>
    </row>
    <row r="172" spans="2:9" ht="24" customHeight="1" thickTop="1" thickBot="1">
      <c r="B172" s="625">
        <v>88484</v>
      </c>
      <c r="C172" s="452" t="s">
        <v>725</v>
      </c>
      <c r="D172" s="710" t="s">
        <v>724</v>
      </c>
      <c r="E172" s="711"/>
      <c r="F172" s="711"/>
      <c r="G172" s="712"/>
      <c r="H172" s="454">
        <f>702.7+74.64</f>
        <v>777.34</v>
      </c>
      <c r="I172" s="455" t="s">
        <v>9</v>
      </c>
    </row>
    <row r="173" spans="2:9" ht="22.5" customHeight="1" thickTop="1" thickBot="1">
      <c r="B173" s="625">
        <v>88496</v>
      </c>
      <c r="C173" s="452" t="s">
        <v>728</v>
      </c>
      <c r="D173" s="710" t="s">
        <v>724</v>
      </c>
      <c r="E173" s="711"/>
      <c r="F173" s="711"/>
      <c r="G173" s="712"/>
      <c r="H173" s="454">
        <f>702.7+74.64</f>
        <v>777.34</v>
      </c>
      <c r="I173" s="455" t="s">
        <v>9</v>
      </c>
    </row>
    <row r="174" spans="2:9" ht="30.75" customHeight="1" thickTop="1" thickBot="1">
      <c r="B174" s="586" t="s">
        <v>726</v>
      </c>
      <c r="C174" s="452" t="s">
        <v>727</v>
      </c>
      <c r="D174" s="710" t="s">
        <v>724</v>
      </c>
      <c r="E174" s="711"/>
      <c r="F174" s="711"/>
      <c r="G174" s="712"/>
      <c r="H174" s="454">
        <f>702.7+74.64</f>
        <v>777.34</v>
      </c>
      <c r="I174" s="455" t="s">
        <v>9</v>
      </c>
    </row>
    <row r="175" spans="2:9" ht="16.5" customHeight="1" thickTop="1" thickBot="1">
      <c r="B175" s="473" t="s">
        <v>805</v>
      </c>
      <c r="C175" s="705" t="s">
        <v>129</v>
      </c>
      <c r="D175" s="706"/>
      <c r="E175" s="706"/>
      <c r="F175" s="706"/>
      <c r="G175" s="706"/>
      <c r="H175" s="706"/>
      <c r="I175" s="707"/>
    </row>
    <row r="176" spans="2:9" ht="24" customHeight="1" thickTop="1" thickBot="1">
      <c r="B176" s="504"/>
      <c r="C176" s="502"/>
      <c r="D176" s="710"/>
      <c r="E176" s="711"/>
      <c r="F176" s="711"/>
      <c r="G176" s="712"/>
      <c r="H176" s="501"/>
      <c r="I176" s="503" t="s">
        <v>9</v>
      </c>
    </row>
    <row r="177" spans="2:9" ht="36" customHeight="1" thickTop="1" thickBot="1">
      <c r="B177" s="106" t="s">
        <v>806</v>
      </c>
      <c r="C177" s="705" t="s">
        <v>132</v>
      </c>
      <c r="D177" s="706"/>
      <c r="E177" s="706"/>
      <c r="F177" s="706"/>
      <c r="G177" s="706"/>
      <c r="H177" s="706"/>
      <c r="I177" s="707"/>
    </row>
    <row r="178" spans="2:9" ht="13.5" thickTop="1">
      <c r="B178" s="713">
        <v>102193</v>
      </c>
      <c r="C178" s="692" t="s">
        <v>928</v>
      </c>
      <c r="D178" s="708" t="s">
        <v>732</v>
      </c>
      <c r="E178" s="708"/>
      <c r="F178" s="708"/>
      <c r="G178" s="708"/>
      <c r="H178" s="696">
        <v>141.41999999999999</v>
      </c>
      <c r="I178" s="699" t="s">
        <v>9</v>
      </c>
    </row>
    <row r="179" spans="2:9" ht="21" customHeight="1">
      <c r="B179" s="714"/>
      <c r="C179" s="693"/>
      <c r="D179" s="709" t="s">
        <v>731</v>
      </c>
      <c r="E179" s="709"/>
      <c r="F179" s="709"/>
      <c r="G179" s="709"/>
      <c r="H179" s="697"/>
      <c r="I179" s="700"/>
    </row>
    <row r="180" spans="2:9" ht="23.25" customHeight="1">
      <c r="B180" s="714"/>
      <c r="C180" s="693"/>
      <c r="D180" s="709" t="s">
        <v>730</v>
      </c>
      <c r="E180" s="709"/>
      <c r="F180" s="709"/>
      <c r="G180" s="709"/>
      <c r="H180" s="697"/>
      <c r="I180" s="700"/>
    </row>
    <row r="181" spans="2:9" ht="21.75" customHeight="1">
      <c r="B181" s="714"/>
      <c r="C181" s="693"/>
      <c r="D181" s="686" t="s">
        <v>734</v>
      </c>
      <c r="E181" s="686"/>
      <c r="F181" s="686"/>
      <c r="G181" s="687"/>
      <c r="H181" s="697"/>
      <c r="I181" s="700"/>
    </row>
    <row r="182" spans="2:9" ht="25.5" customHeight="1">
      <c r="B182" s="714"/>
      <c r="C182" s="693"/>
      <c r="D182" s="686" t="s">
        <v>735</v>
      </c>
      <c r="E182" s="686"/>
      <c r="F182" s="686"/>
      <c r="G182" s="687"/>
      <c r="H182" s="697"/>
      <c r="I182" s="700"/>
    </row>
    <row r="183" spans="2:9" ht="24.75" customHeight="1" thickBot="1">
      <c r="B183" s="715"/>
      <c r="C183" s="694"/>
      <c r="D183" s="688" t="s">
        <v>735</v>
      </c>
      <c r="E183" s="688"/>
      <c r="F183" s="688"/>
      <c r="G183" s="688"/>
      <c r="H183" s="698"/>
      <c r="I183" s="701"/>
    </row>
    <row r="184" spans="2:9" ht="13.5" thickTop="1">
      <c r="B184" s="713">
        <v>102197</v>
      </c>
      <c r="C184" s="692" t="s">
        <v>929</v>
      </c>
      <c r="D184" s="708" t="s">
        <v>732</v>
      </c>
      <c r="E184" s="708"/>
      <c r="F184" s="708"/>
      <c r="G184" s="708"/>
      <c r="H184" s="696">
        <v>141.41999999999999</v>
      </c>
      <c r="I184" s="699" t="s">
        <v>9</v>
      </c>
    </row>
    <row r="185" spans="2:9" ht="21" customHeight="1">
      <c r="B185" s="714"/>
      <c r="C185" s="693"/>
      <c r="D185" s="709" t="s">
        <v>731</v>
      </c>
      <c r="E185" s="709"/>
      <c r="F185" s="709"/>
      <c r="G185" s="709"/>
      <c r="H185" s="697"/>
      <c r="I185" s="700"/>
    </row>
    <row r="186" spans="2:9" ht="23.25" customHeight="1">
      <c r="B186" s="714"/>
      <c r="C186" s="693"/>
      <c r="D186" s="709" t="s">
        <v>730</v>
      </c>
      <c r="E186" s="709"/>
      <c r="F186" s="709"/>
      <c r="G186" s="709"/>
      <c r="H186" s="697"/>
      <c r="I186" s="700"/>
    </row>
    <row r="187" spans="2:9" ht="21.75" customHeight="1">
      <c r="B187" s="714"/>
      <c r="C187" s="693"/>
      <c r="D187" s="686" t="s">
        <v>734</v>
      </c>
      <c r="E187" s="686"/>
      <c r="F187" s="686"/>
      <c r="G187" s="687"/>
      <c r="H187" s="697"/>
      <c r="I187" s="700"/>
    </row>
    <row r="188" spans="2:9" ht="25.5" customHeight="1">
      <c r="B188" s="714"/>
      <c r="C188" s="693"/>
      <c r="D188" s="686" t="s">
        <v>735</v>
      </c>
      <c r="E188" s="686"/>
      <c r="F188" s="686"/>
      <c r="G188" s="687"/>
      <c r="H188" s="697"/>
      <c r="I188" s="700"/>
    </row>
    <row r="189" spans="2:9" ht="24.75" customHeight="1" thickBot="1">
      <c r="B189" s="715"/>
      <c r="C189" s="694"/>
      <c r="D189" s="688" t="s">
        <v>735</v>
      </c>
      <c r="E189" s="688"/>
      <c r="F189" s="688"/>
      <c r="G189" s="688"/>
      <c r="H189" s="698"/>
      <c r="I189" s="701"/>
    </row>
    <row r="190" spans="2:9" ht="13.5" thickTop="1">
      <c r="B190" s="713">
        <v>102219</v>
      </c>
      <c r="C190" s="692" t="s">
        <v>733</v>
      </c>
      <c r="D190" s="708" t="s">
        <v>732</v>
      </c>
      <c r="E190" s="708"/>
      <c r="F190" s="708"/>
      <c r="G190" s="708"/>
      <c r="H190" s="696">
        <v>141.41999999999999</v>
      </c>
      <c r="I190" s="699" t="s">
        <v>9</v>
      </c>
    </row>
    <row r="191" spans="2:9" ht="21" customHeight="1">
      <c r="B191" s="714"/>
      <c r="C191" s="693"/>
      <c r="D191" s="709" t="s">
        <v>731</v>
      </c>
      <c r="E191" s="709"/>
      <c r="F191" s="709"/>
      <c r="G191" s="709"/>
      <c r="H191" s="697"/>
      <c r="I191" s="700"/>
    </row>
    <row r="192" spans="2:9" ht="23.25" customHeight="1">
      <c r="B192" s="714"/>
      <c r="C192" s="693"/>
      <c r="D192" s="709" t="s">
        <v>730</v>
      </c>
      <c r="E192" s="709"/>
      <c r="F192" s="709"/>
      <c r="G192" s="709"/>
      <c r="H192" s="697"/>
      <c r="I192" s="700"/>
    </row>
    <row r="193" spans="1:10" ht="21.75" customHeight="1">
      <c r="B193" s="714"/>
      <c r="C193" s="693"/>
      <c r="D193" s="686" t="s">
        <v>734</v>
      </c>
      <c r="E193" s="686"/>
      <c r="F193" s="686"/>
      <c r="G193" s="687"/>
      <c r="H193" s="697"/>
      <c r="I193" s="700"/>
    </row>
    <row r="194" spans="1:10" ht="25.5" customHeight="1">
      <c r="B194" s="714"/>
      <c r="C194" s="693"/>
      <c r="D194" s="686" t="s">
        <v>735</v>
      </c>
      <c r="E194" s="686"/>
      <c r="F194" s="686"/>
      <c r="G194" s="687"/>
      <c r="H194" s="697"/>
      <c r="I194" s="700"/>
    </row>
    <row r="195" spans="1:10" ht="24.75" customHeight="1" thickBot="1">
      <c r="B195" s="715"/>
      <c r="C195" s="694"/>
      <c r="D195" s="688" t="s">
        <v>735</v>
      </c>
      <c r="E195" s="688"/>
      <c r="F195" s="688"/>
      <c r="G195" s="688"/>
      <c r="H195" s="698"/>
      <c r="I195" s="701"/>
    </row>
    <row r="196" spans="1:10" ht="33" customHeight="1" thickTop="1">
      <c r="B196" s="689">
        <v>100721</v>
      </c>
      <c r="C196" s="692" t="s">
        <v>930</v>
      </c>
      <c r="D196" s="695" t="s">
        <v>790</v>
      </c>
      <c r="E196" s="695"/>
      <c r="F196" s="695"/>
      <c r="G196" s="695"/>
      <c r="H196" s="696">
        <f>15.4+6.48+16.18+27.72</f>
        <v>65.78</v>
      </c>
      <c r="I196" s="699" t="s">
        <v>9</v>
      </c>
    </row>
    <row r="197" spans="1:10" ht="28.5" customHeight="1">
      <c r="A197" s="509"/>
      <c r="B197" s="690"/>
      <c r="C197" s="693"/>
      <c r="D197" s="702" t="s">
        <v>791</v>
      </c>
      <c r="E197" s="702"/>
      <c r="F197" s="702"/>
      <c r="G197" s="702"/>
      <c r="H197" s="697"/>
      <c r="I197" s="700"/>
    </row>
    <row r="198" spans="1:10" ht="24.75" customHeight="1">
      <c r="B198" s="690"/>
      <c r="C198" s="693"/>
      <c r="D198" s="703" t="s">
        <v>931</v>
      </c>
      <c r="E198" s="703"/>
      <c r="F198" s="703"/>
      <c r="G198" s="703"/>
      <c r="H198" s="697"/>
      <c r="I198" s="700"/>
    </row>
    <row r="199" spans="1:10" ht="24.75" customHeight="1">
      <c r="B199" s="690"/>
      <c r="C199" s="693"/>
      <c r="D199" s="695" t="s">
        <v>792</v>
      </c>
      <c r="E199" s="695"/>
      <c r="F199" s="695"/>
      <c r="G199" s="695"/>
      <c r="H199" s="697"/>
      <c r="I199" s="700"/>
    </row>
    <row r="200" spans="1:10" ht="30.75" customHeight="1" thickBot="1">
      <c r="B200" s="691"/>
      <c r="C200" s="694"/>
      <c r="D200" s="704" t="s">
        <v>949</v>
      </c>
      <c r="E200" s="704"/>
      <c r="F200" s="704"/>
      <c r="G200" s="704"/>
      <c r="H200" s="698"/>
      <c r="I200" s="701"/>
    </row>
    <row r="201" spans="1:10" ht="33" customHeight="1" thickTop="1">
      <c r="B201" s="689">
        <v>100761</v>
      </c>
      <c r="C201" s="692" t="s">
        <v>789</v>
      </c>
      <c r="D201" s="695" t="s">
        <v>790</v>
      </c>
      <c r="E201" s="695"/>
      <c r="F201" s="695"/>
      <c r="G201" s="695"/>
      <c r="H201" s="696">
        <f>15.4+6.48+16.18+27.72</f>
        <v>65.78</v>
      </c>
      <c r="I201" s="699" t="s">
        <v>9</v>
      </c>
    </row>
    <row r="202" spans="1:10" ht="28.5" customHeight="1">
      <c r="A202" s="509"/>
      <c r="B202" s="690"/>
      <c r="C202" s="693"/>
      <c r="D202" s="702" t="s">
        <v>791</v>
      </c>
      <c r="E202" s="702"/>
      <c r="F202" s="702"/>
      <c r="G202" s="702"/>
      <c r="H202" s="697"/>
      <c r="I202" s="700"/>
    </row>
    <row r="203" spans="1:10" ht="24.75" customHeight="1">
      <c r="B203" s="690"/>
      <c r="C203" s="693"/>
      <c r="D203" s="703" t="s">
        <v>931</v>
      </c>
      <c r="E203" s="703"/>
      <c r="F203" s="703"/>
      <c r="G203" s="703"/>
      <c r="H203" s="697"/>
      <c r="I203" s="700"/>
      <c r="J203" s="4" t="s">
        <v>933</v>
      </c>
    </row>
    <row r="204" spans="1:10" ht="24.75" customHeight="1">
      <c r="B204" s="690"/>
      <c r="C204" s="693"/>
      <c r="D204" s="695" t="s">
        <v>792</v>
      </c>
      <c r="E204" s="695"/>
      <c r="F204" s="695"/>
      <c r="G204" s="695"/>
      <c r="H204" s="697"/>
      <c r="I204" s="700"/>
    </row>
    <row r="205" spans="1:10" ht="30.75" customHeight="1" thickBot="1">
      <c r="B205" s="691"/>
      <c r="C205" s="694"/>
      <c r="D205" s="704" t="s">
        <v>949</v>
      </c>
      <c r="E205" s="704"/>
      <c r="F205" s="704"/>
      <c r="G205" s="704"/>
      <c r="H205" s="698"/>
      <c r="I205" s="701"/>
    </row>
    <row r="206" spans="1:10" ht="30.75" customHeight="1" thickTop="1" thickBot="1">
      <c r="B206" s="499"/>
      <c r="C206" s="507"/>
      <c r="D206" s="500"/>
      <c r="E206" s="500"/>
      <c r="F206" s="500"/>
      <c r="G206" s="500"/>
      <c r="H206" s="508"/>
      <c r="I206" s="494"/>
    </row>
    <row r="207" spans="1:10" ht="16.5" customHeight="1" thickTop="1" thickBot="1">
      <c r="B207" s="103">
        <v>8</v>
      </c>
      <c r="C207" s="722" t="s">
        <v>132</v>
      </c>
      <c r="D207" s="723"/>
      <c r="E207" s="723"/>
      <c r="F207" s="723"/>
      <c r="G207" s="723"/>
      <c r="H207" s="723"/>
      <c r="I207" s="724"/>
    </row>
    <row r="208" spans="1:10" ht="16.5" customHeight="1" thickTop="1" thickBot="1">
      <c r="B208" s="428" t="s">
        <v>803</v>
      </c>
      <c r="C208" s="511" t="s">
        <v>956</v>
      </c>
      <c r="D208" s="498"/>
      <c r="E208" s="498"/>
      <c r="F208" s="498"/>
      <c r="G208" s="498"/>
      <c r="H208" s="512"/>
      <c r="I208" s="513"/>
    </row>
    <row r="209" spans="1:11" ht="27.75" customHeight="1" thickTop="1" thickBot="1">
      <c r="B209" s="449">
        <v>100705</v>
      </c>
      <c r="C209" s="445" t="s">
        <v>796</v>
      </c>
      <c r="D209" s="728" t="s">
        <v>799</v>
      </c>
      <c r="E209" s="729"/>
      <c r="F209" s="729"/>
      <c r="G209" s="730"/>
      <c r="H209" s="491">
        <v>20</v>
      </c>
      <c r="I209" s="492" t="s">
        <v>0</v>
      </c>
    </row>
    <row r="210" spans="1:11" ht="33" customHeight="1" thickTop="1" thickBot="1">
      <c r="B210" s="496" t="s">
        <v>797</v>
      </c>
      <c r="C210" s="445" t="s">
        <v>798</v>
      </c>
      <c r="D210" s="728" t="s">
        <v>800</v>
      </c>
      <c r="E210" s="729"/>
      <c r="F210" s="729"/>
      <c r="G210" s="730"/>
      <c r="H210" s="491">
        <v>6</v>
      </c>
      <c r="I210" s="492" t="s">
        <v>0</v>
      </c>
    </row>
    <row r="211" spans="1:11" ht="16.5" customHeight="1" thickTop="1" thickBot="1">
      <c r="B211" s="473" t="s">
        <v>804</v>
      </c>
      <c r="C211" s="705" t="s">
        <v>691</v>
      </c>
      <c r="D211" s="706"/>
      <c r="E211" s="706"/>
      <c r="F211" s="706"/>
      <c r="G211" s="706"/>
      <c r="H211" s="706"/>
      <c r="I211" s="707"/>
    </row>
    <row r="212" spans="1:11" ht="32.25" customHeight="1" thickTop="1" thickBot="1">
      <c r="B212" s="434" t="s">
        <v>662</v>
      </c>
      <c r="C212" s="445" t="s">
        <v>663</v>
      </c>
      <c r="D212" s="719" t="s">
        <v>133</v>
      </c>
      <c r="E212" s="720"/>
      <c r="F212" s="720"/>
      <c r="G212" s="721"/>
      <c r="H212" s="662">
        <v>2</v>
      </c>
      <c r="I212" s="432" t="s">
        <v>0</v>
      </c>
      <c r="K212" s="4" t="s">
        <v>935</v>
      </c>
    </row>
    <row r="213" spans="1:11" ht="27.75" customHeight="1" thickTop="1" thickBot="1">
      <c r="A213" s="4">
        <v>94569</v>
      </c>
      <c r="B213" s="434" t="s">
        <v>664</v>
      </c>
      <c r="C213" s="381" t="s">
        <v>678</v>
      </c>
      <c r="D213" s="719" t="s">
        <v>133</v>
      </c>
      <c r="E213" s="720"/>
      <c r="F213" s="720"/>
      <c r="G213" s="721"/>
      <c r="H213" s="663">
        <v>3</v>
      </c>
      <c r="I213" s="113" t="s">
        <v>0</v>
      </c>
    </row>
    <row r="214" spans="1:11" ht="30.75" customHeight="1" thickTop="1" thickBot="1">
      <c r="A214" s="4">
        <v>94570</v>
      </c>
      <c r="B214" s="434" t="s">
        <v>665</v>
      </c>
      <c r="C214" s="446" t="s">
        <v>793</v>
      </c>
      <c r="D214" s="719" t="s">
        <v>133</v>
      </c>
      <c r="E214" s="720"/>
      <c r="F214" s="720"/>
      <c r="G214" s="721"/>
      <c r="H214" s="662">
        <v>1</v>
      </c>
      <c r="I214" s="432" t="s">
        <v>0</v>
      </c>
    </row>
    <row r="215" spans="1:11" ht="29.25" customHeight="1" thickTop="1" thickBot="1">
      <c r="A215" s="4">
        <v>94573</v>
      </c>
      <c r="B215" s="434" t="s">
        <v>666</v>
      </c>
      <c r="C215" s="446" t="s">
        <v>679</v>
      </c>
      <c r="D215" s="719" t="s">
        <v>133</v>
      </c>
      <c r="E215" s="720"/>
      <c r="F215" s="720"/>
      <c r="G215" s="721"/>
      <c r="H215" s="662">
        <v>4</v>
      </c>
      <c r="I215" s="432" t="s">
        <v>0</v>
      </c>
    </row>
    <row r="216" spans="1:11" ht="29.25" customHeight="1" thickTop="1" thickBot="1">
      <c r="B216" s="434" t="s">
        <v>667</v>
      </c>
      <c r="C216" s="447" t="s">
        <v>680</v>
      </c>
      <c r="D216" s="826" t="s">
        <v>133</v>
      </c>
      <c r="E216" s="827"/>
      <c r="F216" s="827"/>
      <c r="G216" s="828"/>
      <c r="H216" s="663">
        <v>3</v>
      </c>
      <c r="I216" s="113" t="s">
        <v>0</v>
      </c>
    </row>
    <row r="217" spans="1:11" ht="29.25" customHeight="1" thickTop="1" thickBot="1">
      <c r="B217" s="434" t="s">
        <v>668</v>
      </c>
      <c r="C217" s="448" t="s">
        <v>681</v>
      </c>
      <c r="D217" s="719" t="s">
        <v>133</v>
      </c>
      <c r="E217" s="720"/>
      <c r="F217" s="720"/>
      <c r="G217" s="721"/>
      <c r="H217" s="664">
        <v>1</v>
      </c>
      <c r="I217" s="433" t="s">
        <v>0</v>
      </c>
    </row>
    <row r="218" spans="1:11" ht="29.25" customHeight="1" thickTop="1" thickBot="1">
      <c r="B218" s="434" t="s">
        <v>669</v>
      </c>
      <c r="C218" s="448" t="s">
        <v>682</v>
      </c>
      <c r="D218" s="719" t="s">
        <v>133</v>
      </c>
      <c r="E218" s="720"/>
      <c r="F218" s="720"/>
      <c r="G218" s="721"/>
      <c r="H218" s="664">
        <v>3</v>
      </c>
      <c r="I218" s="433" t="s">
        <v>0</v>
      </c>
    </row>
    <row r="219" spans="1:11" ht="29.25" customHeight="1" thickTop="1" thickBot="1">
      <c r="B219" s="441" t="s">
        <v>670</v>
      </c>
      <c r="C219" s="448" t="s">
        <v>683</v>
      </c>
      <c r="D219" s="719" t="s">
        <v>133</v>
      </c>
      <c r="E219" s="720"/>
      <c r="F219" s="720"/>
      <c r="G219" s="721"/>
      <c r="H219" s="664">
        <v>1</v>
      </c>
      <c r="I219" s="440" t="s">
        <v>0</v>
      </c>
    </row>
    <row r="220" spans="1:11" ht="29.25" customHeight="1" thickTop="1" thickBot="1">
      <c r="B220" s="434" t="s">
        <v>671</v>
      </c>
      <c r="C220" s="448" t="s">
        <v>684</v>
      </c>
      <c r="D220" s="719" t="s">
        <v>133</v>
      </c>
      <c r="E220" s="720"/>
      <c r="F220" s="720"/>
      <c r="G220" s="721"/>
      <c r="H220" s="664">
        <v>66</v>
      </c>
      <c r="I220" s="433" t="s">
        <v>0</v>
      </c>
    </row>
    <row r="221" spans="1:11" ht="29.25" customHeight="1" thickTop="1" thickBot="1">
      <c r="B221" s="434" t="s">
        <v>672</v>
      </c>
      <c r="C221" s="448" t="s">
        <v>685</v>
      </c>
      <c r="D221" s="719" t="s">
        <v>133</v>
      </c>
      <c r="E221" s="720"/>
      <c r="F221" s="720"/>
      <c r="G221" s="721"/>
      <c r="H221" s="664">
        <v>18</v>
      </c>
      <c r="I221" s="433" t="s">
        <v>0</v>
      </c>
    </row>
    <row r="222" spans="1:11" ht="29.25" customHeight="1" thickTop="1" thickBot="1">
      <c r="B222" s="434" t="s">
        <v>673</v>
      </c>
      <c r="C222" s="448" t="s">
        <v>686</v>
      </c>
      <c r="D222" s="719" t="s">
        <v>133</v>
      </c>
      <c r="E222" s="720"/>
      <c r="F222" s="720"/>
      <c r="G222" s="721"/>
      <c r="H222" s="664">
        <v>5</v>
      </c>
      <c r="I222" s="433" t="s">
        <v>0</v>
      </c>
    </row>
    <row r="223" spans="1:11" ht="29.25" customHeight="1" thickTop="1" thickBot="1">
      <c r="B223" s="434" t="s">
        <v>674</v>
      </c>
      <c r="C223" s="448" t="s">
        <v>687</v>
      </c>
      <c r="D223" s="719" t="s">
        <v>133</v>
      </c>
      <c r="E223" s="720"/>
      <c r="F223" s="720"/>
      <c r="G223" s="721"/>
      <c r="H223" s="664">
        <v>20</v>
      </c>
      <c r="I223" s="433" t="s">
        <v>0</v>
      </c>
    </row>
    <row r="224" spans="1:11" ht="29.25" customHeight="1" thickTop="1" thickBot="1">
      <c r="B224" s="434" t="s">
        <v>675</v>
      </c>
      <c r="C224" s="448" t="s">
        <v>688</v>
      </c>
      <c r="D224" s="719" t="s">
        <v>133</v>
      </c>
      <c r="E224" s="720"/>
      <c r="F224" s="720"/>
      <c r="G224" s="721"/>
      <c r="H224" s="664">
        <v>2</v>
      </c>
      <c r="I224" s="433" t="s">
        <v>0</v>
      </c>
    </row>
    <row r="225" spans="2:11" ht="29.25" customHeight="1" thickTop="1" thickBot="1">
      <c r="B225" s="434" t="s">
        <v>676</v>
      </c>
      <c r="C225" s="448" t="s">
        <v>689</v>
      </c>
      <c r="D225" s="719" t="s">
        <v>133</v>
      </c>
      <c r="E225" s="720"/>
      <c r="F225" s="720"/>
      <c r="G225" s="721"/>
      <c r="H225" s="664">
        <v>3</v>
      </c>
      <c r="I225" s="433" t="s">
        <v>0</v>
      </c>
    </row>
    <row r="226" spans="2:11" ht="29.25" customHeight="1" thickTop="1" thickBot="1">
      <c r="B226" s="434" t="s">
        <v>677</v>
      </c>
      <c r="C226" s="448" t="s">
        <v>690</v>
      </c>
      <c r="D226" s="719" t="s">
        <v>133</v>
      </c>
      <c r="E226" s="720"/>
      <c r="F226" s="720"/>
      <c r="G226" s="721"/>
      <c r="H226" s="664">
        <v>13</v>
      </c>
      <c r="I226" s="433" t="s">
        <v>0</v>
      </c>
    </row>
    <row r="227" spans="2:11" ht="29.25" customHeight="1" thickTop="1" thickBot="1">
      <c r="B227" s="496" t="s">
        <v>786</v>
      </c>
      <c r="C227" s="510" t="s">
        <v>787</v>
      </c>
      <c r="D227" s="719" t="s">
        <v>788</v>
      </c>
      <c r="E227" s="720"/>
      <c r="F227" s="720"/>
      <c r="G227" s="721"/>
      <c r="H227" s="665">
        <v>1</v>
      </c>
      <c r="I227" s="493" t="s">
        <v>0</v>
      </c>
      <c r="J227" s="4" t="s">
        <v>936</v>
      </c>
    </row>
    <row r="228" spans="2:11" ht="29.25" customHeight="1" thickTop="1" thickBot="1">
      <c r="B228" s="449">
        <v>94559</v>
      </c>
      <c r="C228" s="447" t="s">
        <v>778</v>
      </c>
      <c r="D228" s="719" t="s">
        <v>118</v>
      </c>
      <c r="E228" s="720"/>
      <c r="F228" s="720"/>
      <c r="G228" s="721"/>
      <c r="H228" s="663">
        <v>0.4</v>
      </c>
      <c r="I228" s="113" t="s">
        <v>9</v>
      </c>
    </row>
    <row r="229" spans="2:11" ht="29.25" customHeight="1" thickTop="1" thickBot="1">
      <c r="B229" s="112" t="s">
        <v>937</v>
      </c>
      <c r="C229" s="366" t="s">
        <v>938</v>
      </c>
      <c r="D229" s="725" t="s">
        <v>939</v>
      </c>
      <c r="E229" s="726"/>
      <c r="F229" s="726"/>
      <c r="G229" s="727"/>
      <c r="H229" s="588">
        <f>(0.65*1.08*2) + (1.85*1.78*3)</f>
        <v>11.283000000000001</v>
      </c>
      <c r="I229" s="367" t="s">
        <v>1</v>
      </c>
      <c r="K229" s="4" t="s">
        <v>934</v>
      </c>
    </row>
    <row r="230" spans="2:11" ht="29.25" customHeight="1" thickTop="1" thickBot="1">
      <c r="B230" s="112" t="s">
        <v>795</v>
      </c>
      <c r="C230" s="366" t="s">
        <v>794</v>
      </c>
      <c r="D230" s="725" t="s">
        <v>133</v>
      </c>
      <c r="E230" s="726"/>
      <c r="F230" s="726"/>
      <c r="G230" s="727"/>
      <c r="H230" s="588">
        <f>'RESUMO.ALV.'!E14</f>
        <v>146.84000000000003</v>
      </c>
      <c r="I230" s="367" t="s">
        <v>1</v>
      </c>
      <c r="K230" s="4" t="s">
        <v>934</v>
      </c>
    </row>
    <row r="231" spans="2:11" ht="14.25" thickTop="1" thickBot="1">
      <c r="B231" s="428" t="s">
        <v>805</v>
      </c>
      <c r="C231" s="429" t="s">
        <v>692</v>
      </c>
      <c r="D231" s="426"/>
      <c r="E231" s="427"/>
      <c r="F231" s="427"/>
      <c r="G231" s="388"/>
      <c r="H231" s="430"/>
      <c r="I231" s="431"/>
    </row>
    <row r="232" spans="2:11" ht="39.75" thickTop="1" thickBot="1">
      <c r="B232" s="624" t="s">
        <v>693</v>
      </c>
      <c r="C232" s="366" t="s">
        <v>889</v>
      </c>
      <c r="D232" s="725" t="s">
        <v>133</v>
      </c>
      <c r="E232" s="726"/>
      <c r="F232" s="726"/>
      <c r="G232" s="727"/>
      <c r="H232" s="588">
        <v>18</v>
      </c>
      <c r="I232" s="367" t="s">
        <v>0</v>
      </c>
    </row>
    <row r="233" spans="2:11" ht="39.75" thickTop="1" thickBot="1">
      <c r="B233" s="624" t="s">
        <v>694</v>
      </c>
      <c r="C233" s="366" t="s">
        <v>890</v>
      </c>
      <c r="D233" s="725" t="s">
        <v>133</v>
      </c>
      <c r="E233" s="726"/>
      <c r="F233" s="726"/>
      <c r="G233" s="727"/>
      <c r="H233" s="588">
        <v>6</v>
      </c>
      <c r="I233" s="367" t="s">
        <v>0</v>
      </c>
      <c r="J233" s="4">
        <v>18</v>
      </c>
    </row>
    <row r="234" spans="2:11" ht="39.75" thickTop="1" thickBot="1">
      <c r="B234" s="624" t="s">
        <v>695</v>
      </c>
      <c r="C234" s="366" t="s">
        <v>891</v>
      </c>
      <c r="D234" s="725" t="s">
        <v>133</v>
      </c>
      <c r="E234" s="726"/>
      <c r="F234" s="726"/>
      <c r="G234" s="727"/>
      <c r="H234" s="588">
        <v>13</v>
      </c>
      <c r="I234" s="367" t="s">
        <v>0</v>
      </c>
      <c r="J234" s="4">
        <v>6</v>
      </c>
    </row>
    <row r="235" spans="2:11" ht="25.5" customHeight="1" thickTop="1">
      <c r="B235" s="811" t="s">
        <v>696</v>
      </c>
      <c r="C235" s="692" t="s">
        <v>706</v>
      </c>
      <c r="D235" s="823" t="s">
        <v>712</v>
      </c>
      <c r="E235" s="824"/>
      <c r="F235" s="824"/>
      <c r="G235" s="825"/>
      <c r="H235" s="814">
        <f>(36+26+12)*0.9*0.4</f>
        <v>26.640000000000004</v>
      </c>
      <c r="I235" s="817" t="s">
        <v>9</v>
      </c>
    </row>
    <row r="236" spans="2:11" ht="26.25" customHeight="1">
      <c r="B236" s="812"/>
      <c r="C236" s="693"/>
      <c r="D236" s="820" t="s">
        <v>713</v>
      </c>
      <c r="E236" s="821"/>
      <c r="F236" s="821"/>
      <c r="G236" s="822"/>
      <c r="H236" s="815"/>
      <c r="I236" s="818"/>
    </row>
    <row r="237" spans="2:11" ht="24.75" customHeight="1" thickBot="1">
      <c r="B237" s="813"/>
      <c r="C237" s="694"/>
      <c r="D237" s="716" t="s">
        <v>714</v>
      </c>
      <c r="E237" s="717"/>
      <c r="F237" s="717"/>
      <c r="G237" s="718"/>
      <c r="H237" s="816"/>
      <c r="I237" s="819"/>
      <c r="J237" s="4">
        <v>13</v>
      </c>
    </row>
    <row r="238" spans="2:11" ht="31.5" customHeight="1" thickTop="1" thickBot="1">
      <c r="B238" s="624" t="s">
        <v>697</v>
      </c>
      <c r="C238" s="366" t="s">
        <v>941</v>
      </c>
      <c r="D238" s="725" t="s">
        <v>133</v>
      </c>
      <c r="E238" s="726"/>
      <c r="F238" s="726"/>
      <c r="G238" s="755"/>
      <c r="H238" s="588">
        <v>2</v>
      </c>
      <c r="I238" s="367" t="s">
        <v>0</v>
      </c>
      <c r="J238" s="4">
        <f>SUM(J233:J237)</f>
        <v>37</v>
      </c>
    </row>
    <row r="239" spans="2:11" ht="31.5" customHeight="1" thickTop="1" thickBot="1">
      <c r="B239" s="624" t="s">
        <v>698</v>
      </c>
      <c r="C239" s="366" t="s">
        <v>940</v>
      </c>
      <c r="D239" s="725" t="s">
        <v>133</v>
      </c>
      <c r="E239" s="726"/>
      <c r="F239" s="726"/>
      <c r="G239" s="727"/>
      <c r="H239" s="588">
        <v>2</v>
      </c>
      <c r="I239" s="367" t="s">
        <v>0</v>
      </c>
    </row>
    <row r="240" spans="2:11" ht="31.5" customHeight="1" thickTop="1" thickBot="1">
      <c r="B240" s="624" t="s">
        <v>942</v>
      </c>
      <c r="C240" s="366" t="s">
        <v>943</v>
      </c>
      <c r="D240" s="725" t="s">
        <v>133</v>
      </c>
      <c r="E240" s="726"/>
      <c r="F240" s="726"/>
      <c r="G240" s="727"/>
      <c r="H240" s="588">
        <v>5</v>
      </c>
      <c r="I240" s="367" t="s">
        <v>0</v>
      </c>
    </row>
    <row r="241" spans="2:9" ht="31.5" customHeight="1" thickTop="1" thickBot="1">
      <c r="B241" s="624" t="s">
        <v>699</v>
      </c>
      <c r="C241" s="366" t="s">
        <v>944</v>
      </c>
      <c r="D241" s="725" t="s">
        <v>133</v>
      </c>
      <c r="E241" s="726"/>
      <c r="F241" s="726"/>
      <c r="G241" s="727"/>
      <c r="H241" s="588">
        <v>12</v>
      </c>
      <c r="I241" s="367" t="s">
        <v>0</v>
      </c>
    </row>
    <row r="242" spans="2:9" ht="31.5" customHeight="1" thickTop="1" thickBot="1">
      <c r="B242" s="624" t="s">
        <v>700</v>
      </c>
      <c r="C242" s="366" t="s">
        <v>945</v>
      </c>
      <c r="D242" s="725" t="s">
        <v>133</v>
      </c>
      <c r="E242" s="726"/>
      <c r="F242" s="726"/>
      <c r="G242" s="727"/>
      <c r="H242" s="588">
        <v>8</v>
      </c>
      <c r="I242" s="367" t="s">
        <v>0</v>
      </c>
    </row>
    <row r="243" spans="2:9" ht="31.5" customHeight="1" thickTop="1" thickBot="1">
      <c r="B243" s="624" t="s">
        <v>701</v>
      </c>
      <c r="C243" s="366" t="s">
        <v>707</v>
      </c>
      <c r="D243" s="725" t="s">
        <v>133</v>
      </c>
      <c r="E243" s="726"/>
      <c r="F243" s="726"/>
      <c r="G243" s="727"/>
      <c r="H243" s="588">
        <v>17</v>
      </c>
      <c r="I243" s="367" t="s">
        <v>0</v>
      </c>
    </row>
    <row r="244" spans="2:9" ht="31.5" customHeight="1" thickTop="1" thickBot="1">
      <c r="B244" s="624" t="s">
        <v>702</v>
      </c>
      <c r="C244" s="366" t="s">
        <v>708</v>
      </c>
      <c r="D244" s="725" t="s">
        <v>133</v>
      </c>
      <c r="E244" s="726"/>
      <c r="F244" s="726"/>
      <c r="G244" s="727"/>
      <c r="H244" s="588">
        <v>4</v>
      </c>
      <c r="I244" s="367" t="s">
        <v>0</v>
      </c>
    </row>
    <row r="245" spans="2:9" ht="31.5" customHeight="1" thickTop="1" thickBot="1">
      <c r="B245" s="624" t="s">
        <v>703</v>
      </c>
      <c r="C245" s="366" t="s">
        <v>709</v>
      </c>
      <c r="D245" s="725" t="s">
        <v>133</v>
      </c>
      <c r="E245" s="726"/>
      <c r="F245" s="726"/>
      <c r="G245" s="727"/>
      <c r="H245" s="588">
        <v>1</v>
      </c>
      <c r="I245" s="367" t="s">
        <v>0</v>
      </c>
    </row>
    <row r="246" spans="2:9" ht="31.5" customHeight="1" thickTop="1" thickBot="1">
      <c r="B246" s="624" t="s">
        <v>704</v>
      </c>
      <c r="C246" s="366" t="s">
        <v>710</v>
      </c>
      <c r="D246" s="725" t="s">
        <v>133</v>
      </c>
      <c r="E246" s="726"/>
      <c r="F246" s="726"/>
      <c r="G246" s="727"/>
      <c r="H246" s="588">
        <v>1</v>
      </c>
      <c r="I246" s="367" t="s">
        <v>0</v>
      </c>
    </row>
    <row r="247" spans="2:9" ht="31.5" customHeight="1" thickTop="1" thickBot="1">
      <c r="B247" s="624" t="s">
        <v>705</v>
      </c>
      <c r="C247" s="366" t="s">
        <v>946</v>
      </c>
      <c r="D247" s="725" t="s">
        <v>133</v>
      </c>
      <c r="E247" s="726"/>
      <c r="F247" s="726"/>
      <c r="G247" s="727"/>
      <c r="H247" s="588">
        <v>1</v>
      </c>
      <c r="I247" s="367" t="s">
        <v>0</v>
      </c>
    </row>
    <row r="248" spans="2:9" ht="26.25" thickTop="1">
      <c r="B248" s="667" t="s">
        <v>711</v>
      </c>
      <c r="C248" s="476" t="s">
        <v>947</v>
      </c>
      <c r="D248" s="699" t="s">
        <v>133</v>
      </c>
      <c r="E248" s="752"/>
      <c r="F248" s="752"/>
      <c r="G248" s="753"/>
      <c r="H248" s="666">
        <v>2</v>
      </c>
      <c r="I248" s="475" t="s">
        <v>0</v>
      </c>
    </row>
    <row r="249" spans="2:9" ht="26.25" thickBot="1">
      <c r="B249" s="669" t="s">
        <v>738</v>
      </c>
      <c r="C249" s="483" t="s">
        <v>741</v>
      </c>
      <c r="D249" s="841" t="s">
        <v>133</v>
      </c>
      <c r="E249" s="841"/>
      <c r="F249" s="841"/>
      <c r="G249" s="841"/>
      <c r="H249" s="670">
        <v>1</v>
      </c>
      <c r="I249" s="484" t="s">
        <v>0</v>
      </c>
    </row>
    <row r="250" spans="2:9" ht="27" thickTop="1" thickBot="1">
      <c r="B250" s="671" t="s">
        <v>739</v>
      </c>
      <c r="C250" s="114" t="s">
        <v>740</v>
      </c>
      <c r="D250" s="842" t="s">
        <v>133</v>
      </c>
      <c r="E250" s="842"/>
      <c r="F250" s="842"/>
      <c r="G250" s="842"/>
      <c r="H250" s="588">
        <v>1</v>
      </c>
      <c r="I250" s="485" t="s">
        <v>0</v>
      </c>
    </row>
    <row r="251" spans="2:9" ht="27" thickTop="1" thickBot="1">
      <c r="B251" s="921" t="s">
        <v>775</v>
      </c>
      <c r="C251" s="415" t="s">
        <v>948</v>
      </c>
      <c r="D251" s="710" t="s">
        <v>779</v>
      </c>
      <c r="E251" s="711"/>
      <c r="F251" s="711"/>
      <c r="G251" s="712"/>
      <c r="H251" s="663">
        <v>1</v>
      </c>
      <c r="I251" s="488" t="s">
        <v>9</v>
      </c>
    </row>
    <row r="252" spans="2:9" ht="27" thickTop="1" thickBot="1">
      <c r="B252" s="921" t="s">
        <v>776</v>
      </c>
      <c r="C252" s="415" t="s">
        <v>777</v>
      </c>
      <c r="D252" s="710" t="s">
        <v>779</v>
      </c>
      <c r="E252" s="711"/>
      <c r="F252" s="711"/>
      <c r="G252" s="712"/>
      <c r="H252" s="663">
        <v>0.9</v>
      </c>
      <c r="I252" s="488" t="s">
        <v>1</v>
      </c>
    </row>
    <row r="253" spans="2:9" ht="14.25" thickTop="1" thickBot="1">
      <c r="B253" s="921">
        <v>90838</v>
      </c>
      <c r="C253" s="415" t="s">
        <v>952</v>
      </c>
      <c r="D253" s="710" t="s">
        <v>953</v>
      </c>
      <c r="E253" s="711"/>
      <c r="F253" s="711"/>
      <c r="G253" s="712"/>
      <c r="H253" s="663">
        <v>6</v>
      </c>
      <c r="I253" s="488" t="s">
        <v>0</v>
      </c>
    </row>
    <row r="254" spans="2:9" ht="27" thickTop="1" thickBot="1">
      <c r="B254" s="486" t="s">
        <v>781</v>
      </c>
      <c r="C254" s="415" t="s">
        <v>780</v>
      </c>
      <c r="D254" s="710" t="s">
        <v>782</v>
      </c>
      <c r="E254" s="711"/>
      <c r="F254" s="711"/>
      <c r="G254" s="712"/>
      <c r="H254" s="111">
        <v>1</v>
      </c>
      <c r="I254" s="488" t="s">
        <v>0</v>
      </c>
    </row>
    <row r="255" spans="2:9" ht="27" thickTop="1" thickBot="1">
      <c r="B255" s="486" t="s">
        <v>784</v>
      </c>
      <c r="C255" s="487" t="s">
        <v>783</v>
      </c>
      <c r="D255" s="710" t="s">
        <v>782</v>
      </c>
      <c r="E255" s="711"/>
      <c r="F255" s="711"/>
      <c r="G255" s="712"/>
      <c r="H255" s="111">
        <v>1</v>
      </c>
      <c r="I255" s="488" t="s">
        <v>0</v>
      </c>
    </row>
    <row r="256" spans="2:9" ht="27" thickTop="1" thickBot="1">
      <c r="B256" s="921" t="s">
        <v>950</v>
      </c>
      <c r="C256" s="487" t="s">
        <v>951</v>
      </c>
      <c r="D256" s="710" t="s">
        <v>953</v>
      </c>
      <c r="E256" s="711"/>
      <c r="F256" s="711"/>
      <c r="G256" s="712"/>
      <c r="H256" s="663">
        <v>6</v>
      </c>
      <c r="I256" s="488" t="s">
        <v>0</v>
      </c>
    </row>
    <row r="257" spans="2:9" ht="14.25" thickTop="1" thickBot="1">
      <c r="B257" s="428" t="s">
        <v>806</v>
      </c>
      <c r="C257" s="429" t="s">
        <v>801</v>
      </c>
      <c r="D257" s="497"/>
      <c r="E257" s="498"/>
      <c r="F257" s="498"/>
      <c r="G257" s="388"/>
      <c r="H257" s="430"/>
      <c r="I257" s="431"/>
    </row>
    <row r="258" spans="2:9" ht="23.25" customHeight="1" thickTop="1">
      <c r="B258" s="838" t="s">
        <v>742</v>
      </c>
      <c r="C258" s="692" t="s">
        <v>743</v>
      </c>
      <c r="D258" s="843" t="s">
        <v>746</v>
      </c>
      <c r="E258" s="708"/>
      <c r="F258" s="708"/>
      <c r="G258" s="780"/>
      <c r="H258" s="696">
        <v>13.39</v>
      </c>
      <c r="I258" s="699" t="s">
        <v>9</v>
      </c>
    </row>
    <row r="259" spans="2:9" ht="20.25" customHeight="1">
      <c r="B259" s="839"/>
      <c r="C259" s="693"/>
      <c r="D259" s="833" t="s">
        <v>747</v>
      </c>
      <c r="E259" s="709"/>
      <c r="F259" s="709"/>
      <c r="G259" s="834"/>
      <c r="H259" s="697"/>
      <c r="I259" s="700"/>
    </row>
    <row r="260" spans="2:9" ht="21.75" customHeight="1">
      <c r="B260" s="839"/>
      <c r="C260" s="693"/>
      <c r="D260" s="832" t="s">
        <v>748</v>
      </c>
      <c r="E260" s="686"/>
      <c r="F260" s="686"/>
      <c r="G260" s="687"/>
      <c r="H260" s="697"/>
      <c r="I260" s="700"/>
    </row>
    <row r="261" spans="2:9" ht="24" customHeight="1">
      <c r="B261" s="839"/>
      <c r="C261" s="693"/>
      <c r="D261" s="829" t="s">
        <v>749</v>
      </c>
      <c r="E261" s="830"/>
      <c r="F261" s="830"/>
      <c r="G261" s="831"/>
      <c r="H261" s="697"/>
      <c r="I261" s="700"/>
    </row>
    <row r="262" spans="2:9" ht="24" customHeight="1">
      <c r="B262" s="839"/>
      <c r="C262" s="693"/>
      <c r="D262" s="832" t="s">
        <v>750</v>
      </c>
      <c r="E262" s="686"/>
      <c r="F262" s="686"/>
      <c r="G262" s="687"/>
      <c r="H262" s="697"/>
      <c r="I262" s="700"/>
    </row>
    <row r="263" spans="2:9" ht="19.5" customHeight="1">
      <c r="B263" s="839"/>
      <c r="C263" s="693"/>
      <c r="D263" s="829" t="s">
        <v>751</v>
      </c>
      <c r="E263" s="830"/>
      <c r="F263" s="830"/>
      <c r="G263" s="831"/>
      <c r="H263" s="697"/>
      <c r="I263" s="700"/>
    </row>
    <row r="264" spans="2:9" ht="21" customHeight="1">
      <c r="B264" s="839"/>
      <c r="C264" s="693"/>
      <c r="D264" s="833" t="s">
        <v>752</v>
      </c>
      <c r="E264" s="709"/>
      <c r="F264" s="709"/>
      <c r="G264" s="834"/>
      <c r="H264" s="697"/>
      <c r="I264" s="700"/>
    </row>
    <row r="265" spans="2:9" ht="19.5" customHeight="1">
      <c r="B265" s="839"/>
      <c r="C265" s="693"/>
      <c r="D265" s="833" t="s">
        <v>753</v>
      </c>
      <c r="E265" s="709"/>
      <c r="F265" s="709"/>
      <c r="G265" s="834"/>
      <c r="H265" s="697"/>
      <c r="I265" s="700"/>
    </row>
    <row r="266" spans="2:9" ht="27" customHeight="1">
      <c r="B266" s="839"/>
      <c r="C266" s="693"/>
      <c r="D266" s="832" t="s">
        <v>754</v>
      </c>
      <c r="E266" s="686"/>
      <c r="F266" s="686"/>
      <c r="G266" s="687"/>
      <c r="H266" s="697"/>
      <c r="I266" s="700"/>
    </row>
    <row r="267" spans="2:9" ht="21" customHeight="1">
      <c r="B267" s="839"/>
      <c r="C267" s="693"/>
      <c r="D267" s="829" t="s">
        <v>755</v>
      </c>
      <c r="E267" s="830"/>
      <c r="F267" s="830"/>
      <c r="G267" s="831"/>
      <c r="H267" s="697"/>
      <c r="I267" s="700"/>
    </row>
    <row r="268" spans="2:9" ht="23.25" customHeight="1">
      <c r="B268" s="839"/>
      <c r="C268" s="693"/>
      <c r="D268" s="833" t="s">
        <v>756</v>
      </c>
      <c r="E268" s="709"/>
      <c r="F268" s="709"/>
      <c r="G268" s="834"/>
      <c r="H268" s="697"/>
      <c r="I268" s="700"/>
    </row>
    <row r="269" spans="2:9" ht="26.25" customHeight="1">
      <c r="B269" s="839"/>
      <c r="C269" s="693"/>
      <c r="D269" s="833" t="s">
        <v>757</v>
      </c>
      <c r="E269" s="709"/>
      <c r="F269" s="709"/>
      <c r="G269" s="834"/>
      <c r="H269" s="697"/>
      <c r="I269" s="700"/>
    </row>
    <row r="270" spans="2:9" ht="24.75" customHeight="1">
      <c r="B270" s="839"/>
      <c r="C270" s="693"/>
      <c r="D270" s="833" t="s">
        <v>744</v>
      </c>
      <c r="E270" s="709"/>
      <c r="F270" s="709"/>
      <c r="G270" s="834"/>
      <c r="H270" s="697"/>
      <c r="I270" s="700"/>
    </row>
    <row r="271" spans="2:9" ht="24.75" customHeight="1" thickBot="1">
      <c r="B271" s="839"/>
      <c r="C271" s="693"/>
      <c r="D271" s="835" t="s">
        <v>745</v>
      </c>
      <c r="E271" s="836"/>
      <c r="F271" s="836"/>
      <c r="G271" s="837"/>
      <c r="H271" s="697"/>
      <c r="I271" s="700"/>
    </row>
    <row r="272" spans="2:9" ht="30" customHeight="1" thickTop="1" thickBot="1">
      <c r="B272" s="840"/>
      <c r="C272" s="694"/>
      <c r="D272" s="835" t="s">
        <v>785</v>
      </c>
      <c r="E272" s="836"/>
      <c r="F272" s="836"/>
      <c r="G272" s="837"/>
      <c r="H272" s="698"/>
      <c r="I272" s="701"/>
    </row>
    <row r="273" spans="2:9" ht="33" customHeight="1" thickTop="1">
      <c r="B273" s="4"/>
      <c r="C273" s="4"/>
      <c r="D273" s="4"/>
      <c r="E273" s="4"/>
      <c r="G273" s="4"/>
      <c r="H273" s="4"/>
      <c r="I273" s="4"/>
    </row>
    <row r="277" spans="2:9">
      <c r="C277" s="1">
        <v>59</v>
      </c>
    </row>
  </sheetData>
  <mergeCells count="319">
    <mergeCell ref="D256:G256"/>
    <mergeCell ref="D149:G149"/>
    <mergeCell ref="D150:G150"/>
    <mergeCell ref="D131:G131"/>
    <mergeCell ref="D132:G132"/>
    <mergeCell ref="D133:G133"/>
    <mergeCell ref="D134:G134"/>
    <mergeCell ref="C175:I175"/>
    <mergeCell ref="D176:G176"/>
    <mergeCell ref="D152:G152"/>
    <mergeCell ref="D145:G145"/>
    <mergeCell ref="D148:G148"/>
    <mergeCell ref="D144:G144"/>
    <mergeCell ref="D146:G146"/>
    <mergeCell ref="D157:G157"/>
    <mergeCell ref="D167:G167"/>
    <mergeCell ref="D166:G166"/>
    <mergeCell ref="D162:G162"/>
    <mergeCell ref="D163:G163"/>
    <mergeCell ref="D169:G169"/>
    <mergeCell ref="D170:G170"/>
    <mergeCell ref="D168:G168"/>
    <mergeCell ref="D174:G174"/>
    <mergeCell ref="D173:G173"/>
    <mergeCell ref="D121:G121"/>
    <mergeCell ref="D122:G122"/>
    <mergeCell ref="D123:G123"/>
    <mergeCell ref="D124:G124"/>
    <mergeCell ref="D125:G125"/>
    <mergeCell ref="D126:G126"/>
    <mergeCell ref="D127:G127"/>
    <mergeCell ref="D128:G128"/>
    <mergeCell ref="D129:G129"/>
    <mergeCell ref="D110:G110"/>
    <mergeCell ref="D111:G111"/>
    <mergeCell ref="D112:G112"/>
    <mergeCell ref="D113:G113"/>
    <mergeCell ref="D114:G114"/>
    <mergeCell ref="D115:G115"/>
    <mergeCell ref="D118:G118"/>
    <mergeCell ref="D119:G119"/>
    <mergeCell ref="D120:G120"/>
    <mergeCell ref="D101:G101"/>
    <mergeCell ref="D102:G102"/>
    <mergeCell ref="D103:G103"/>
    <mergeCell ref="D104:G104"/>
    <mergeCell ref="D105:G105"/>
    <mergeCell ref="D106:G106"/>
    <mergeCell ref="D107:G107"/>
    <mergeCell ref="D108:G108"/>
    <mergeCell ref="D109:G109"/>
    <mergeCell ref="C258:C272"/>
    <mergeCell ref="B258:B272"/>
    <mergeCell ref="D249:G249"/>
    <mergeCell ref="D250:G250"/>
    <mergeCell ref="D258:G258"/>
    <mergeCell ref="D259:G259"/>
    <mergeCell ref="D260:G260"/>
    <mergeCell ref="D147:G147"/>
    <mergeCell ref="D81:G81"/>
    <mergeCell ref="D82:G82"/>
    <mergeCell ref="D83:G83"/>
    <mergeCell ref="D86:G86"/>
    <mergeCell ref="D87:G87"/>
    <mergeCell ref="D88:G88"/>
    <mergeCell ref="D269:G269"/>
    <mergeCell ref="D270:G270"/>
    <mergeCell ref="D272:G272"/>
    <mergeCell ref="D251:G251"/>
    <mergeCell ref="D253:G253"/>
    <mergeCell ref="D254:G254"/>
    <mergeCell ref="D255:G255"/>
    <mergeCell ref="D92:G92"/>
    <mergeCell ref="D93:G93"/>
    <mergeCell ref="D94:G94"/>
    <mergeCell ref="I258:I272"/>
    <mergeCell ref="D267:G267"/>
    <mergeCell ref="D266:G266"/>
    <mergeCell ref="D265:G265"/>
    <mergeCell ref="D264:G264"/>
    <mergeCell ref="D263:G263"/>
    <mergeCell ref="D262:G262"/>
    <mergeCell ref="D261:G261"/>
    <mergeCell ref="D268:G268"/>
    <mergeCell ref="D271:G271"/>
    <mergeCell ref="H258:H272"/>
    <mergeCell ref="D252:G252"/>
    <mergeCell ref="H190:H195"/>
    <mergeCell ref="I190:I195"/>
    <mergeCell ref="B235:B237"/>
    <mergeCell ref="C235:C237"/>
    <mergeCell ref="H235:H237"/>
    <mergeCell ref="I235:I237"/>
    <mergeCell ref="D236:G236"/>
    <mergeCell ref="D235:G235"/>
    <mergeCell ref="D233:G233"/>
    <mergeCell ref="D234:G234"/>
    <mergeCell ref="D212:G212"/>
    <mergeCell ref="D216:G216"/>
    <mergeCell ref="D215:G215"/>
    <mergeCell ref="D195:G195"/>
    <mergeCell ref="D192:G192"/>
    <mergeCell ref="D232:G232"/>
    <mergeCell ref="D226:G226"/>
    <mergeCell ref="D225:G225"/>
    <mergeCell ref="D224:G224"/>
    <mergeCell ref="D223:G223"/>
    <mergeCell ref="D214:G214"/>
    <mergeCell ref="D213:G213"/>
    <mergeCell ref="D246:G246"/>
    <mergeCell ref="D247:G247"/>
    <mergeCell ref="D248:G248"/>
    <mergeCell ref="D244:G244"/>
    <mergeCell ref="D242:G242"/>
    <mergeCell ref="D241:G241"/>
    <mergeCell ref="D240:G240"/>
    <mergeCell ref="D239:G239"/>
    <mergeCell ref="D238:G238"/>
    <mergeCell ref="D243:G243"/>
    <mergeCell ref="D245:G245"/>
    <mergeCell ref="C13:I13"/>
    <mergeCell ref="I15:I16"/>
    <mergeCell ref="E16:G16"/>
    <mergeCell ref="D17:G17"/>
    <mergeCell ref="D42:G42"/>
    <mergeCell ref="I18:I19"/>
    <mergeCell ref="D35:G35"/>
    <mergeCell ref="I20:I22"/>
    <mergeCell ref="D64:G64"/>
    <mergeCell ref="D47:G47"/>
    <mergeCell ref="D48:G48"/>
    <mergeCell ref="D49:G49"/>
    <mergeCell ref="D50:G50"/>
    <mergeCell ref="D51:G51"/>
    <mergeCell ref="D61:G61"/>
    <mergeCell ref="I36:I38"/>
    <mergeCell ref="C39:C41"/>
    <mergeCell ref="D52:G52"/>
    <mergeCell ref="D53:G53"/>
    <mergeCell ref="D54:G54"/>
    <mergeCell ref="D55:G55"/>
    <mergeCell ref="D56:G56"/>
    <mergeCell ref="D57:G57"/>
    <mergeCell ref="C23:C28"/>
    <mergeCell ref="B15:B16"/>
    <mergeCell ref="C15:C16"/>
    <mergeCell ref="E15:G15"/>
    <mergeCell ref="B39:B41"/>
    <mergeCell ref="H15:H16"/>
    <mergeCell ref="E22:G22"/>
    <mergeCell ref="E23:G23"/>
    <mergeCell ref="E24:G24"/>
    <mergeCell ref="E29:G29"/>
    <mergeCell ref="E30:G30"/>
    <mergeCell ref="E19:G19"/>
    <mergeCell ref="H18:H19"/>
    <mergeCell ref="B18:B19"/>
    <mergeCell ref="C18:C19"/>
    <mergeCell ref="E18:G18"/>
    <mergeCell ref="E20:G20"/>
    <mergeCell ref="H20:H22"/>
    <mergeCell ref="B20:B22"/>
    <mergeCell ref="E25:G25"/>
    <mergeCell ref="E26:G26"/>
    <mergeCell ref="E27:G27"/>
    <mergeCell ref="E28:G28"/>
    <mergeCell ref="E21:G21"/>
    <mergeCell ref="C20:C22"/>
    <mergeCell ref="B1:I1"/>
    <mergeCell ref="B2:I2"/>
    <mergeCell ref="B3:I3"/>
    <mergeCell ref="B4:I4"/>
    <mergeCell ref="B5:I5"/>
    <mergeCell ref="B6:I6"/>
    <mergeCell ref="B12:I12"/>
    <mergeCell ref="C8:H8"/>
    <mergeCell ref="C11:G11"/>
    <mergeCell ref="C10:I10"/>
    <mergeCell ref="I39:I41"/>
    <mergeCell ref="D153:G153"/>
    <mergeCell ref="D154:G154"/>
    <mergeCell ref="D33:G33"/>
    <mergeCell ref="D34:G34"/>
    <mergeCell ref="E36:G36"/>
    <mergeCell ref="E37:G37"/>
    <mergeCell ref="E38:G38"/>
    <mergeCell ref="I65:I68"/>
    <mergeCell ref="D70:G70"/>
    <mergeCell ref="D71:G71"/>
    <mergeCell ref="D72:G72"/>
    <mergeCell ref="H69:H72"/>
    <mergeCell ref="I69:I72"/>
    <mergeCell ref="D77:G77"/>
    <mergeCell ref="E40:G40"/>
    <mergeCell ref="E41:G41"/>
    <mergeCell ref="D44:G44"/>
    <mergeCell ref="D45:G45"/>
    <mergeCell ref="D46:G46"/>
    <mergeCell ref="D43:G43"/>
    <mergeCell ref="D58:G58"/>
    <mergeCell ref="D59:G59"/>
    <mergeCell ref="D60:G60"/>
    <mergeCell ref="I23:I28"/>
    <mergeCell ref="H23:H28"/>
    <mergeCell ref="B23:B28"/>
    <mergeCell ref="C29:C30"/>
    <mergeCell ref="B29:B30"/>
    <mergeCell ref="H29:H30"/>
    <mergeCell ref="I29:I30"/>
    <mergeCell ref="E31:G31"/>
    <mergeCell ref="H36:H38"/>
    <mergeCell ref="C36:C38"/>
    <mergeCell ref="B36:B38"/>
    <mergeCell ref="D32:G32"/>
    <mergeCell ref="D62:G62"/>
    <mergeCell ref="D63:G63"/>
    <mergeCell ref="D137:G137"/>
    <mergeCell ref="D138:G138"/>
    <mergeCell ref="D140:G140"/>
    <mergeCell ref="D136:G136"/>
    <mergeCell ref="H39:H41"/>
    <mergeCell ref="D139:G139"/>
    <mergeCell ref="D143:G143"/>
    <mergeCell ref="D142:G142"/>
    <mergeCell ref="D141:G141"/>
    <mergeCell ref="D65:G65"/>
    <mergeCell ref="D67:G67"/>
    <mergeCell ref="D66:G66"/>
    <mergeCell ref="D68:G68"/>
    <mergeCell ref="H65:H68"/>
    <mergeCell ref="E39:G39"/>
    <mergeCell ref="D89:G89"/>
    <mergeCell ref="D91:G91"/>
    <mergeCell ref="D95:G95"/>
    <mergeCell ref="D96:G96"/>
    <mergeCell ref="D97:G97"/>
    <mergeCell ref="D98:G98"/>
    <mergeCell ref="D99:G99"/>
    <mergeCell ref="C65:C68"/>
    <mergeCell ref="B65:B68"/>
    <mergeCell ref="D69:G69"/>
    <mergeCell ref="D228:G228"/>
    <mergeCell ref="C171:I171"/>
    <mergeCell ref="D193:G193"/>
    <mergeCell ref="D194:G194"/>
    <mergeCell ref="C190:C195"/>
    <mergeCell ref="C69:C72"/>
    <mergeCell ref="B69:B72"/>
    <mergeCell ref="D73:G73"/>
    <mergeCell ref="D74:G74"/>
    <mergeCell ref="D75:G75"/>
    <mergeCell ref="D76:G76"/>
    <mergeCell ref="H73:H76"/>
    <mergeCell ref="I73:I76"/>
    <mergeCell ref="C73:C76"/>
    <mergeCell ref="B73:B76"/>
    <mergeCell ref="D161:G161"/>
    <mergeCell ref="D160:G160"/>
    <mergeCell ref="D155:G155"/>
    <mergeCell ref="D156:G156"/>
    <mergeCell ref="D159:G159"/>
    <mergeCell ref="D158:G158"/>
    <mergeCell ref="H201:H205"/>
    <mergeCell ref="D201:G201"/>
    <mergeCell ref="D202:G202"/>
    <mergeCell ref="D203:G203"/>
    <mergeCell ref="D204:G204"/>
    <mergeCell ref="D205:G205"/>
    <mergeCell ref="C201:C205"/>
    <mergeCell ref="B201:B205"/>
    <mergeCell ref="D237:G237"/>
    <mergeCell ref="D218:G218"/>
    <mergeCell ref="D217:G217"/>
    <mergeCell ref="D222:G222"/>
    <mergeCell ref="D221:G221"/>
    <mergeCell ref="D220:G220"/>
    <mergeCell ref="D219:G219"/>
    <mergeCell ref="C207:I207"/>
    <mergeCell ref="C211:I211"/>
    <mergeCell ref="D227:G227"/>
    <mergeCell ref="D230:G230"/>
    <mergeCell ref="D209:G209"/>
    <mergeCell ref="D210:G210"/>
    <mergeCell ref="D229:G229"/>
    <mergeCell ref="C177:I177"/>
    <mergeCell ref="D190:G190"/>
    <mergeCell ref="D191:G191"/>
    <mergeCell ref="D172:G172"/>
    <mergeCell ref="I201:I205"/>
    <mergeCell ref="B190:B195"/>
    <mergeCell ref="B178:B183"/>
    <mergeCell ref="C178:C183"/>
    <mergeCell ref="D178:G178"/>
    <mergeCell ref="H178:H183"/>
    <mergeCell ref="I178:I183"/>
    <mergeCell ref="D179:G179"/>
    <mergeCell ref="D180:G180"/>
    <mergeCell ref="D181:G181"/>
    <mergeCell ref="D182:G182"/>
    <mergeCell ref="D183:G183"/>
    <mergeCell ref="B184:B189"/>
    <mergeCell ref="C184:C189"/>
    <mergeCell ref="D184:G184"/>
    <mergeCell ref="H184:H189"/>
    <mergeCell ref="I184:I189"/>
    <mergeCell ref="D185:G185"/>
    <mergeCell ref="D186:G186"/>
    <mergeCell ref="D187:G187"/>
    <mergeCell ref="D188:G188"/>
    <mergeCell ref="D189:G189"/>
    <mergeCell ref="B196:B200"/>
    <mergeCell ref="C196:C200"/>
    <mergeCell ref="D196:G196"/>
    <mergeCell ref="H196:H200"/>
    <mergeCell ref="I196:I200"/>
    <mergeCell ref="D197:G197"/>
    <mergeCell ref="D198:G198"/>
    <mergeCell ref="D199:G199"/>
    <mergeCell ref="D200:G200"/>
  </mergeCells>
  <printOptions horizontalCentered="1"/>
  <pageMargins left="0.70866141732283472" right="0.51181102362204722" top="0.39370078740157483" bottom="0.56000000000000005" header="0.31496062992125984" footer="0.31496062992125984"/>
  <pageSetup paperSize="9" scale="41"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0E37C-2A78-43F1-B816-AC95CF507D6A}">
  <sheetPr>
    <pageSetUpPr fitToPage="1"/>
  </sheetPr>
  <dimension ref="A1:M30"/>
  <sheetViews>
    <sheetView showGridLines="0" view="pageBreakPreview" topLeftCell="A14" zoomScaleNormal="100" zoomScaleSheetLayoutView="100" workbookViewId="0">
      <selection activeCell="E22" sqref="E22"/>
    </sheetView>
  </sheetViews>
  <sheetFormatPr defaultColWidth="8.85546875" defaultRowHeight="12.75"/>
  <cols>
    <col min="1" max="1" width="8.85546875" style="526"/>
    <col min="2" max="2" width="9.140625" style="526" customWidth="1"/>
    <col min="3" max="3" width="56.7109375" style="526" customWidth="1"/>
    <col min="4" max="4" width="18.28515625" style="526" customWidth="1"/>
    <col min="5" max="5" width="14.5703125" style="526" customWidth="1"/>
    <col min="6" max="16384" width="8.85546875" style="526"/>
  </cols>
  <sheetData>
    <row r="1" spans="1:13" s="516" customFormat="1" ht="15" customHeight="1">
      <c r="A1" s="855" t="s">
        <v>3</v>
      </c>
      <c r="B1" s="855"/>
      <c r="C1" s="855"/>
      <c r="D1" s="855"/>
      <c r="E1" s="855"/>
      <c r="F1" s="855"/>
      <c r="G1" s="855"/>
      <c r="H1" s="304"/>
      <c r="I1" s="304"/>
      <c r="J1" s="304"/>
      <c r="K1" s="304"/>
      <c r="L1" s="304"/>
    </row>
    <row r="2" spans="1:13" s="516" customFormat="1" ht="15" customHeight="1">
      <c r="A2" s="855" t="s">
        <v>486</v>
      </c>
      <c r="B2" s="855"/>
      <c r="C2" s="855"/>
      <c r="D2" s="855"/>
      <c r="E2" s="855"/>
      <c r="F2" s="855"/>
      <c r="G2" s="855"/>
      <c r="H2" s="304"/>
      <c r="I2" s="304"/>
      <c r="J2" s="304"/>
      <c r="K2" s="304"/>
      <c r="L2" s="304"/>
    </row>
    <row r="3" spans="1:13" s="516" customFormat="1" ht="15" customHeight="1">
      <c r="A3" s="855" t="s">
        <v>487</v>
      </c>
      <c r="B3" s="855"/>
      <c r="C3" s="855"/>
      <c r="D3" s="855"/>
      <c r="E3" s="855"/>
      <c r="F3" s="855"/>
      <c r="G3" s="855"/>
      <c r="H3" s="304"/>
      <c r="I3" s="304"/>
      <c r="J3" s="304"/>
      <c r="K3" s="304"/>
      <c r="L3" s="304"/>
    </row>
    <row r="4" spans="1:13" s="516" customFormat="1" ht="15" customHeight="1">
      <c r="A4" s="855" t="s">
        <v>488</v>
      </c>
      <c r="B4" s="855"/>
      <c r="C4" s="855"/>
      <c r="D4" s="855"/>
      <c r="E4" s="855"/>
      <c r="F4" s="855"/>
      <c r="G4" s="855"/>
      <c r="H4" s="304"/>
      <c r="I4" s="304"/>
      <c r="J4" s="304"/>
      <c r="K4" s="304"/>
      <c r="L4" s="304"/>
    </row>
    <row r="5" spans="1:13" s="516" customFormat="1" ht="15" customHeight="1">
      <c r="A5" s="855" t="s">
        <v>808</v>
      </c>
      <c r="B5" s="855"/>
      <c r="C5" s="855"/>
      <c r="D5" s="855"/>
      <c r="E5" s="855"/>
      <c r="F5" s="855"/>
      <c r="G5" s="855"/>
      <c r="H5" s="304"/>
      <c r="I5" s="304"/>
      <c r="J5" s="304"/>
      <c r="K5" s="304"/>
      <c r="L5" s="304"/>
    </row>
    <row r="6" spans="1:13" s="516" customFormat="1" ht="15" customHeight="1">
      <c r="A6" s="855" t="s">
        <v>809</v>
      </c>
      <c r="B6" s="855"/>
      <c r="C6" s="855"/>
      <c r="D6" s="855"/>
      <c r="E6" s="855"/>
      <c r="F6" s="855"/>
      <c r="G6" s="855"/>
      <c r="H6" s="304"/>
      <c r="I6" s="304"/>
      <c r="J6" s="304"/>
      <c r="K6" s="304"/>
      <c r="L6" s="304"/>
    </row>
    <row r="7" spans="1:13" s="516" customFormat="1" ht="12.95" customHeight="1">
      <c r="A7" s="506"/>
      <c r="B7" s="506"/>
      <c r="C7" s="506"/>
      <c r="D7" s="506"/>
      <c r="E7" s="506"/>
      <c r="F7" s="506"/>
      <c r="G7" s="506"/>
      <c r="H7" s="304"/>
      <c r="I7" s="304"/>
      <c r="J7" s="304"/>
      <c r="K7" s="304"/>
      <c r="L7" s="304"/>
    </row>
    <row r="8" spans="1:13" s="516" customFormat="1">
      <c r="A8" s="517"/>
      <c r="B8" s="518" t="s">
        <v>810</v>
      </c>
      <c r="C8" s="519"/>
      <c r="D8" s="519"/>
      <c r="E8" s="519"/>
      <c r="F8" s="520"/>
      <c r="G8" s="517"/>
      <c r="H8" s="517"/>
      <c r="I8" s="521"/>
      <c r="J8" s="521"/>
      <c r="M8" s="521"/>
    </row>
    <row r="9" spans="1:13" s="516" customFormat="1" ht="15.75" customHeight="1">
      <c r="A9" s="522"/>
      <c r="B9" s="851" t="s">
        <v>811</v>
      </c>
      <c r="C9" s="851"/>
      <c r="D9" s="851"/>
      <c r="E9" s="851"/>
      <c r="F9" s="851"/>
      <c r="G9" s="851"/>
      <c r="H9" s="851"/>
      <c r="I9" s="521"/>
      <c r="J9" s="521"/>
      <c r="M9" s="521"/>
    </row>
    <row r="10" spans="1:13" s="516" customFormat="1" ht="20.100000000000001" customHeight="1">
      <c r="A10" s="523"/>
      <c r="B10" s="852" t="s">
        <v>38</v>
      </c>
      <c r="C10" s="852"/>
      <c r="D10" s="852"/>
      <c r="E10" s="852"/>
      <c r="F10" s="852"/>
      <c r="G10" s="523"/>
      <c r="H10" s="524"/>
      <c r="I10" s="524"/>
    </row>
    <row r="11" spans="1:13" s="516" customFormat="1" ht="9.9499999999999993" customHeight="1">
      <c r="C11" s="853"/>
      <c r="D11" s="853"/>
      <c r="E11" s="853"/>
    </row>
    <row r="12" spans="1:13" ht="18.75" customHeight="1" thickBot="1">
      <c r="A12" s="522"/>
      <c r="B12" s="525"/>
      <c r="C12" s="854"/>
      <c r="D12" s="854"/>
      <c r="E12" s="854"/>
      <c r="F12" s="522"/>
      <c r="G12" s="522"/>
    </row>
    <row r="13" spans="1:13" s="527" customFormat="1" ht="30" customHeight="1" thickBot="1">
      <c r="C13" s="528" t="s">
        <v>39</v>
      </c>
      <c r="D13" s="529" t="s">
        <v>0</v>
      </c>
      <c r="E13" s="530" t="s">
        <v>32</v>
      </c>
      <c r="G13" s="531"/>
      <c r="H13" s="531"/>
      <c r="I13" s="531"/>
      <c r="J13" s="531"/>
      <c r="K13" s="531"/>
      <c r="L13" s="531"/>
    </row>
    <row r="14" spans="1:13" ht="34.9" customHeight="1">
      <c r="C14" s="532" t="s">
        <v>40</v>
      </c>
      <c r="D14" s="533" t="s">
        <v>9</v>
      </c>
      <c r="E14" s="534">
        <v>3747.4734999999996</v>
      </c>
      <c r="F14" s="535"/>
      <c r="G14" s="536"/>
      <c r="H14" s="536"/>
      <c r="I14" s="536"/>
      <c r="J14" s="536"/>
      <c r="K14" s="536"/>
      <c r="L14" s="536"/>
    </row>
    <row r="15" spans="1:13" ht="34.9" customHeight="1">
      <c r="C15" s="537" t="s">
        <v>42</v>
      </c>
      <c r="D15" s="538" t="s">
        <v>9</v>
      </c>
      <c r="E15" s="539">
        <v>1941.2361999999998</v>
      </c>
      <c r="F15" s="535"/>
      <c r="G15" s="536"/>
      <c r="H15" s="540"/>
      <c r="I15" s="541"/>
      <c r="J15" s="542"/>
      <c r="K15" s="536"/>
      <c r="L15" s="536"/>
    </row>
    <row r="16" spans="1:13" ht="34.9" customHeight="1">
      <c r="C16" s="537" t="s">
        <v>41</v>
      </c>
      <c r="D16" s="538" t="s">
        <v>9</v>
      </c>
      <c r="E16" s="539">
        <v>2598.872550000001</v>
      </c>
      <c r="F16" s="535"/>
      <c r="G16" s="536"/>
      <c r="H16" s="536"/>
      <c r="I16" s="540"/>
      <c r="J16" s="541"/>
      <c r="K16" s="542"/>
      <c r="L16" s="536"/>
      <c r="M16" s="543"/>
    </row>
    <row r="17" spans="3:6" ht="34.9" customHeight="1">
      <c r="C17" s="537" t="s">
        <v>43</v>
      </c>
      <c r="D17" s="538" t="s">
        <v>9</v>
      </c>
      <c r="E17" s="539">
        <v>777.6407999999999</v>
      </c>
      <c r="F17" s="535"/>
    </row>
    <row r="18" spans="3:6" ht="34.9" customHeight="1">
      <c r="C18" s="537" t="s">
        <v>44</v>
      </c>
      <c r="D18" s="544" t="s">
        <v>9</v>
      </c>
      <c r="E18" s="539">
        <v>2322.2585999999997</v>
      </c>
      <c r="F18" s="535"/>
    </row>
    <row r="19" spans="3:6" ht="34.9" customHeight="1">
      <c r="C19" s="545" t="s">
        <v>45</v>
      </c>
      <c r="D19" s="544" t="s">
        <v>9</v>
      </c>
      <c r="E19" s="539">
        <v>243.02909999999997</v>
      </c>
      <c r="F19" s="535"/>
    </row>
    <row r="20" spans="3:6" ht="34.9" customHeight="1">
      <c r="C20" s="545" t="s">
        <v>46</v>
      </c>
      <c r="D20" s="544" t="s">
        <v>8</v>
      </c>
      <c r="E20" s="539">
        <v>231.51949999999999</v>
      </c>
      <c r="F20" s="535"/>
    </row>
    <row r="21" spans="3:6" ht="34.9" customHeight="1">
      <c r="C21" s="545" t="s">
        <v>47</v>
      </c>
      <c r="D21" s="544" t="s">
        <v>9</v>
      </c>
      <c r="E21" s="539">
        <v>182.18720000000002</v>
      </c>
      <c r="F21" s="535"/>
    </row>
    <row r="22" spans="3:6" ht="34.9" customHeight="1">
      <c r="C22" s="545" t="s">
        <v>48</v>
      </c>
      <c r="D22" s="544" t="s">
        <v>9</v>
      </c>
      <c r="E22" s="539">
        <v>2522.1254000000004</v>
      </c>
      <c r="F22" s="535"/>
    </row>
    <row r="23" spans="3:6" ht="34.9" customHeight="1">
      <c r="C23" s="545" t="s">
        <v>49</v>
      </c>
      <c r="D23" s="544" t="s">
        <v>9</v>
      </c>
      <c r="E23" s="539">
        <v>2359.9538000000011</v>
      </c>
      <c r="F23" s="535"/>
    </row>
    <row r="24" spans="3:6" ht="34.9" customHeight="1">
      <c r="C24" s="537" t="s">
        <v>812</v>
      </c>
      <c r="D24" s="544" t="s">
        <v>9</v>
      </c>
      <c r="E24" s="546">
        <v>2916.3652999999995</v>
      </c>
    </row>
    <row r="25" spans="3:6" ht="34.9" customHeight="1">
      <c r="C25" s="537" t="s">
        <v>813</v>
      </c>
      <c r="D25" s="544" t="s">
        <v>9</v>
      </c>
      <c r="E25" s="546">
        <v>4977.8696999999984</v>
      </c>
    </row>
    <row r="26" spans="3:6" ht="34.9" customHeight="1">
      <c r="C26" s="537" t="s">
        <v>814</v>
      </c>
      <c r="D26" s="544" t="s">
        <v>9</v>
      </c>
      <c r="E26" s="546">
        <v>7894.2349999999979</v>
      </c>
    </row>
    <row r="27" spans="3:6" ht="34.9" customHeight="1">
      <c r="C27" s="547" t="s">
        <v>815</v>
      </c>
      <c r="D27" s="548" t="s">
        <v>9</v>
      </c>
      <c r="E27" s="549">
        <v>7894.2349999999979</v>
      </c>
    </row>
    <row r="28" spans="3:6" ht="28.9" customHeight="1">
      <c r="C28" s="537" t="s">
        <v>816</v>
      </c>
      <c r="D28" s="544" t="s">
        <v>9</v>
      </c>
      <c r="E28" s="550">
        <v>120.5767</v>
      </c>
    </row>
    <row r="29" spans="3:6" ht="28.9" customHeight="1" thickBot="1">
      <c r="C29" s="551" t="s">
        <v>817</v>
      </c>
      <c r="D29" s="552" t="s">
        <v>9</v>
      </c>
      <c r="E29" s="553">
        <v>578.81189999999992</v>
      </c>
      <c r="F29" s="554"/>
    </row>
    <row r="30" spans="3:6" ht="14.45" customHeight="1">
      <c r="C30" s="555"/>
      <c r="D30" s="555"/>
    </row>
  </sheetData>
  <mergeCells count="9">
    <mergeCell ref="B9:H9"/>
    <mergeCell ref="B10:F10"/>
    <mergeCell ref="C11:E12"/>
    <mergeCell ref="A1:G1"/>
    <mergeCell ref="A2:G2"/>
    <mergeCell ref="A3:G3"/>
    <mergeCell ref="A4:G4"/>
    <mergeCell ref="A5:G5"/>
    <mergeCell ref="A6:G6"/>
  </mergeCells>
  <printOptions horizontalCentered="1"/>
  <pageMargins left="0.25" right="0.25" top="0.75" bottom="0.75" header="0.3" footer="0.3"/>
  <pageSetup paperSize="9" scale="92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243A6-F260-4EF6-8060-605889E7B1C4}">
  <dimension ref="B1:N29"/>
  <sheetViews>
    <sheetView view="pageBreakPreview" topLeftCell="A13" zoomScale="115" zoomScaleNormal="110" zoomScaleSheetLayoutView="115" workbookViewId="0">
      <selection activeCell="E26" sqref="E26"/>
    </sheetView>
  </sheetViews>
  <sheetFormatPr defaultColWidth="8.85546875" defaultRowHeight="12.75"/>
  <cols>
    <col min="1" max="1" width="8.85546875" style="516"/>
    <col min="2" max="2" width="14.140625" style="516" customWidth="1"/>
    <col min="3" max="3" width="35.5703125" style="516" customWidth="1"/>
    <col min="4" max="4" width="8.85546875" style="516"/>
    <col min="5" max="5" width="15.140625" style="516" customWidth="1"/>
    <col min="6" max="6" width="8.85546875" style="516"/>
    <col min="7" max="7" width="10.85546875" style="516" customWidth="1"/>
    <col min="8" max="16384" width="8.85546875" style="516"/>
  </cols>
  <sheetData>
    <row r="1" spans="2:14">
      <c r="B1" s="857" t="s">
        <v>3</v>
      </c>
      <c r="C1" s="857"/>
      <c r="D1" s="857"/>
      <c r="E1" s="857"/>
      <c r="F1" s="857"/>
      <c r="G1" s="857"/>
      <c r="H1" s="556"/>
      <c r="I1" s="556"/>
      <c r="J1" s="556"/>
      <c r="K1" s="556"/>
      <c r="L1" s="556"/>
      <c r="M1" s="556"/>
      <c r="N1" s="556"/>
    </row>
    <row r="2" spans="2:14">
      <c r="B2" s="857" t="s">
        <v>486</v>
      </c>
      <c r="C2" s="857"/>
      <c r="D2" s="857"/>
      <c r="E2" s="857"/>
      <c r="F2" s="857"/>
      <c r="G2" s="857"/>
      <c r="H2" s="556"/>
      <c r="I2" s="556"/>
      <c r="J2" s="556"/>
      <c r="K2" s="556"/>
      <c r="L2" s="556"/>
      <c r="M2" s="556"/>
      <c r="N2" s="556"/>
    </row>
    <row r="3" spans="2:14">
      <c r="B3" s="857" t="s">
        <v>819</v>
      </c>
      <c r="C3" s="857"/>
      <c r="D3" s="857"/>
      <c r="E3" s="857"/>
      <c r="F3" s="857"/>
      <c r="G3" s="857"/>
      <c r="H3" s="556"/>
      <c r="I3" s="556"/>
      <c r="J3" s="556"/>
      <c r="K3" s="556"/>
      <c r="L3" s="556"/>
      <c r="M3" s="556"/>
      <c r="N3" s="556"/>
    </row>
    <row r="4" spans="2:14">
      <c r="B4" s="857" t="s">
        <v>820</v>
      </c>
      <c r="C4" s="857"/>
      <c r="D4" s="857"/>
      <c r="E4" s="857"/>
      <c r="F4" s="857"/>
      <c r="G4" s="857"/>
      <c r="H4" s="556"/>
      <c r="I4" s="556"/>
      <c r="J4" s="556"/>
      <c r="K4" s="556"/>
      <c r="L4" s="556"/>
      <c r="M4" s="556"/>
      <c r="N4" s="556"/>
    </row>
    <row r="5" spans="2:14">
      <c r="B5" s="857" t="s">
        <v>821</v>
      </c>
      <c r="C5" s="857"/>
      <c r="D5" s="857"/>
      <c r="E5" s="857"/>
      <c r="F5" s="857"/>
      <c r="G5" s="857"/>
      <c r="H5" s="556"/>
      <c r="I5" s="556"/>
      <c r="J5" s="556"/>
      <c r="K5" s="556"/>
      <c r="L5" s="556"/>
      <c r="M5" s="556"/>
      <c r="N5" s="556"/>
    </row>
    <row r="6" spans="2:14">
      <c r="B6" s="857" t="s">
        <v>809</v>
      </c>
      <c r="C6" s="857"/>
      <c r="D6" s="857"/>
      <c r="E6" s="857"/>
      <c r="F6" s="857"/>
      <c r="G6" s="857"/>
      <c r="H6" s="556"/>
      <c r="I6" s="556"/>
      <c r="J6" s="556"/>
      <c r="K6" s="556"/>
      <c r="L6" s="556"/>
      <c r="M6" s="556"/>
      <c r="N6" s="556"/>
    </row>
    <row r="7" spans="2:14">
      <c r="B7" s="557"/>
      <c r="C7" s="558"/>
      <c r="D7" s="559"/>
      <c r="E7" s="559"/>
      <c r="F7" s="559"/>
      <c r="G7" s="560"/>
      <c r="H7" s="556"/>
      <c r="I7" s="556"/>
      <c r="J7" s="556"/>
      <c r="K7" s="556"/>
      <c r="L7" s="556"/>
      <c r="M7" s="556"/>
      <c r="N7" s="556"/>
    </row>
    <row r="8" spans="2:14" ht="14.25">
      <c r="B8" s="561"/>
      <c r="C8" s="562"/>
      <c r="D8" s="556"/>
      <c r="E8" s="556"/>
      <c r="F8" s="563"/>
      <c r="G8" s="563"/>
      <c r="H8" s="564"/>
      <c r="I8" s="556"/>
    </row>
    <row r="9" spans="2:14" ht="14.25">
      <c r="B9" s="565" t="s">
        <v>822</v>
      </c>
      <c r="C9" s="566"/>
      <c r="D9" s="566"/>
      <c r="E9" s="566"/>
      <c r="F9" s="567"/>
      <c r="G9" s="568"/>
      <c r="H9" s="569"/>
      <c r="I9" s="570"/>
    </row>
    <row r="10" spans="2:14" ht="14.25">
      <c r="B10" s="856" t="s">
        <v>823</v>
      </c>
      <c r="C10" s="856"/>
      <c r="D10" s="856"/>
      <c r="E10" s="856"/>
      <c r="F10" s="856"/>
      <c r="G10" s="856"/>
      <c r="H10" s="856"/>
      <c r="I10" s="570"/>
    </row>
    <row r="11" spans="2:14">
      <c r="B11" s="571"/>
      <c r="C11" s="571"/>
      <c r="D11" s="571"/>
      <c r="E11" s="571"/>
      <c r="F11" s="571"/>
      <c r="G11" s="571"/>
      <c r="H11" s="571"/>
      <c r="I11" s="571"/>
    </row>
    <row r="13" spans="2:14" s="572" customFormat="1" ht="30" customHeight="1">
      <c r="C13" s="573" t="s">
        <v>20</v>
      </c>
      <c r="D13" s="574" t="s">
        <v>0</v>
      </c>
      <c r="E13" s="574" t="s">
        <v>32</v>
      </c>
    </row>
    <row r="14" spans="2:14" s="572" customFormat="1" ht="30" customHeight="1">
      <c r="C14" s="575" t="s">
        <v>824</v>
      </c>
      <c r="D14" s="576" t="s">
        <v>1</v>
      </c>
      <c r="E14" s="577">
        <v>146.84000000000003</v>
      </c>
    </row>
    <row r="15" spans="2:14" s="572" customFormat="1" ht="30" customHeight="1">
      <c r="C15" s="575" t="s">
        <v>825</v>
      </c>
      <c r="D15" s="576" t="s">
        <v>1</v>
      </c>
      <c r="E15" s="577">
        <v>1580.3299999999974</v>
      </c>
    </row>
    <row r="16" spans="2:14" s="572" customFormat="1" ht="30" customHeight="1">
      <c r="C16" s="578" t="s">
        <v>637</v>
      </c>
      <c r="D16" s="579" t="s">
        <v>1</v>
      </c>
      <c r="E16" s="577">
        <v>322.29999999999995</v>
      </c>
      <c r="F16" s="580"/>
    </row>
    <row r="17" spans="3:6" s="572" customFormat="1" ht="30" customHeight="1">
      <c r="C17" s="578" t="s">
        <v>635</v>
      </c>
      <c r="D17" s="579" t="s">
        <v>1</v>
      </c>
      <c r="E17" s="577">
        <v>71.099999999999994</v>
      </c>
      <c r="F17" s="580"/>
    </row>
    <row r="18" spans="3:6" s="572" customFormat="1" ht="30" customHeight="1">
      <c r="C18" s="578" t="s">
        <v>636</v>
      </c>
      <c r="D18" s="579" t="s">
        <v>1</v>
      </c>
      <c r="E18" s="577">
        <v>29.7</v>
      </c>
    </row>
    <row r="19" spans="3:6" s="572" customFormat="1" ht="30" customHeight="1">
      <c r="C19" s="575" t="s">
        <v>826</v>
      </c>
      <c r="D19" s="576" t="s">
        <v>9</v>
      </c>
      <c r="E19" s="577">
        <v>38.556000000000004</v>
      </c>
    </row>
    <row r="20" spans="3:6" s="572" customFormat="1" ht="30" customHeight="1">
      <c r="C20" s="581" t="s">
        <v>827</v>
      </c>
      <c r="D20" s="582" t="s">
        <v>9</v>
      </c>
      <c r="E20" s="583">
        <v>3.5999999999999996</v>
      </c>
    </row>
    <row r="21" spans="3:6" s="572" customFormat="1" ht="30" customHeight="1">
      <c r="C21" s="581" t="s">
        <v>828</v>
      </c>
      <c r="D21" s="582" t="s">
        <v>9</v>
      </c>
      <c r="E21" s="583">
        <v>424.73100000000005</v>
      </c>
    </row>
    <row r="22" spans="3:6" s="572" customFormat="1" ht="30" customHeight="1">
      <c r="C22" s="581" t="s">
        <v>829</v>
      </c>
      <c r="D22" s="582" t="s">
        <v>9</v>
      </c>
      <c r="E22" s="583">
        <v>6.48</v>
      </c>
    </row>
    <row r="23" spans="3:6" ht="15.75">
      <c r="C23" s="584" t="s">
        <v>830</v>
      </c>
      <c r="D23" s="579" t="s">
        <v>9</v>
      </c>
      <c r="E23" s="585">
        <v>968.80920000000003</v>
      </c>
    </row>
    <row r="24" spans="3:6" ht="15.75">
      <c r="C24" s="584" t="s">
        <v>831</v>
      </c>
      <c r="D24" s="579" t="s">
        <v>9</v>
      </c>
      <c r="E24" s="585">
        <v>2237.0833999999995</v>
      </c>
    </row>
    <row r="25" spans="3:6" ht="15.75">
      <c r="C25" s="584" t="s">
        <v>832</v>
      </c>
      <c r="D25" s="579" t="s">
        <v>9</v>
      </c>
      <c r="E25" s="585">
        <v>10.872</v>
      </c>
    </row>
    <row r="26" spans="3:6" ht="15.75">
      <c r="C26" s="584" t="s">
        <v>833</v>
      </c>
      <c r="D26" s="579" t="s">
        <v>9</v>
      </c>
      <c r="E26" s="585">
        <v>100.75080000000007</v>
      </c>
    </row>
    <row r="27" spans="3:6" ht="15.75">
      <c r="C27" s="584" t="s">
        <v>834</v>
      </c>
      <c r="D27" s="579" t="s">
        <v>9</v>
      </c>
      <c r="E27" s="585">
        <v>231.11</v>
      </c>
    </row>
    <row r="28" spans="3:6" ht="15.75">
      <c r="C28" s="584" t="s">
        <v>954</v>
      </c>
      <c r="D28" s="579" t="s">
        <v>9</v>
      </c>
      <c r="E28" s="585">
        <v>244.57000000000002</v>
      </c>
    </row>
    <row r="29" spans="3:6" ht="15.75">
      <c r="C29" s="584" t="s">
        <v>955</v>
      </c>
      <c r="D29" s="579" t="s">
        <v>9</v>
      </c>
      <c r="E29" s="585">
        <v>132.24</v>
      </c>
    </row>
  </sheetData>
  <mergeCells count="7">
    <mergeCell ref="B10:H10"/>
    <mergeCell ref="B1:G1"/>
    <mergeCell ref="B2:G2"/>
    <mergeCell ref="B3:G3"/>
    <mergeCell ref="B4:G4"/>
    <mergeCell ref="B5:G5"/>
    <mergeCell ref="B6:G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3CB1-8AA0-45A1-B340-D23455682546}">
  <dimension ref="A1:Z92"/>
  <sheetViews>
    <sheetView view="pageBreakPreview" topLeftCell="A15" zoomScale="80" zoomScaleNormal="100" zoomScaleSheetLayoutView="80" workbookViewId="0">
      <selection activeCell="H70" sqref="H17:H70"/>
    </sheetView>
  </sheetViews>
  <sheetFormatPr defaultColWidth="9.140625" defaultRowHeight="12.75"/>
  <cols>
    <col min="1" max="1" width="9.140625" style="4"/>
    <col min="2" max="2" width="11.140625" style="9" customWidth="1"/>
    <col min="3" max="3" width="87.28515625" style="1" customWidth="1"/>
    <col min="4" max="4" width="11" style="2" bestFit="1" customWidth="1"/>
    <col min="5" max="5" width="14.85546875" style="3" customWidth="1"/>
    <col min="6" max="6" width="26.28515625" style="4" customWidth="1"/>
    <col min="7" max="7" width="7.5703125" style="5" customWidth="1"/>
    <col min="8" max="8" width="17.85546875" style="11" customWidth="1"/>
    <col min="9" max="9" width="10.140625" style="10" customWidth="1"/>
    <col min="10" max="10" width="9.140625" style="2"/>
    <col min="11" max="12" width="9.140625" style="4"/>
    <col min="13" max="14" width="11.5703125" style="4" bestFit="1" customWidth="1"/>
    <col min="15" max="15" width="9.140625" style="4"/>
    <col min="16" max="16" width="11.5703125" style="4" bestFit="1" customWidth="1"/>
    <col min="17" max="16384" width="9.140625" style="4"/>
  </cols>
  <sheetData>
    <row r="1" spans="1:11" s="6" customFormat="1" ht="14.25" customHeight="1">
      <c r="B1" s="876" t="s">
        <v>3</v>
      </c>
      <c r="C1" s="877"/>
      <c r="D1" s="877"/>
      <c r="E1" s="877"/>
      <c r="F1" s="877"/>
      <c r="G1" s="877"/>
      <c r="H1" s="877"/>
      <c r="I1" s="878"/>
      <c r="J1" s="627"/>
    </row>
    <row r="2" spans="1:11" s="6" customFormat="1" ht="14.25" customHeight="1">
      <c r="B2" s="874" t="s">
        <v>4</v>
      </c>
      <c r="C2" s="770"/>
      <c r="D2" s="770"/>
      <c r="E2" s="770"/>
      <c r="F2" s="770"/>
      <c r="G2" s="770"/>
      <c r="H2" s="770"/>
      <c r="I2" s="875"/>
      <c r="J2" s="627"/>
    </row>
    <row r="3" spans="1:11" s="6" customFormat="1" ht="14.25" customHeight="1">
      <c r="B3" s="874" t="s">
        <v>5</v>
      </c>
      <c r="C3" s="770"/>
      <c r="D3" s="770"/>
      <c r="E3" s="770"/>
      <c r="F3" s="770"/>
      <c r="G3" s="770"/>
      <c r="H3" s="770"/>
      <c r="I3" s="875"/>
      <c r="J3" s="627"/>
    </row>
    <row r="4" spans="1:11" s="6" customFormat="1" ht="14.25" customHeight="1">
      <c r="B4" s="879" t="s">
        <v>6</v>
      </c>
      <c r="C4" s="880"/>
      <c r="D4" s="880"/>
      <c r="E4" s="880"/>
      <c r="F4" s="880"/>
      <c r="G4" s="880"/>
      <c r="H4" s="880"/>
      <c r="I4" s="881"/>
      <c r="J4" s="627"/>
    </row>
    <row r="5" spans="1:11" s="6" customFormat="1" ht="14.25" customHeight="1">
      <c r="B5" s="874" t="s">
        <v>892</v>
      </c>
      <c r="C5" s="770"/>
      <c r="D5" s="770"/>
      <c r="E5" s="770"/>
      <c r="F5" s="770"/>
      <c r="G5" s="770"/>
      <c r="H5" s="770"/>
      <c r="I5" s="875"/>
      <c r="J5" s="627"/>
    </row>
    <row r="6" spans="1:11" s="6" customFormat="1" ht="14.25" customHeight="1">
      <c r="B6" s="874" t="s">
        <v>893</v>
      </c>
      <c r="C6" s="770"/>
      <c r="D6" s="770"/>
      <c r="E6" s="770"/>
      <c r="F6" s="770"/>
      <c r="G6" s="770"/>
      <c r="H6" s="770"/>
      <c r="I6" s="875"/>
      <c r="J6" s="627"/>
    </row>
    <row r="7" spans="1:11" s="6" customFormat="1" ht="14.25" customHeight="1">
      <c r="B7" s="628"/>
      <c r="C7" s="515"/>
      <c r="D7" s="7"/>
      <c r="E7" s="7"/>
      <c r="F7" s="7"/>
      <c r="G7" s="7"/>
      <c r="H7" s="13"/>
      <c r="J7" s="629"/>
      <c r="K7" s="630" t="s">
        <v>31</v>
      </c>
    </row>
    <row r="8" spans="1:11" s="6" customFormat="1" ht="14.25" customHeight="1">
      <c r="B8" s="628"/>
      <c r="C8" s="774"/>
      <c r="D8" s="774"/>
      <c r="E8" s="774"/>
      <c r="F8" s="774"/>
      <c r="G8" s="774"/>
      <c r="H8" s="774"/>
      <c r="J8" s="631"/>
      <c r="K8" s="630" t="s">
        <v>894</v>
      </c>
    </row>
    <row r="9" spans="1:11" s="6" customFormat="1" ht="20.100000000000001" customHeight="1">
      <c r="B9" s="628"/>
      <c r="C9" s="872" t="s">
        <v>895</v>
      </c>
      <c r="D9" s="872"/>
      <c r="E9" s="872"/>
      <c r="F9" s="872"/>
      <c r="G9" s="872"/>
      <c r="H9" s="872"/>
      <c r="I9" s="872"/>
      <c r="J9" s="872"/>
      <c r="K9" s="630" t="s">
        <v>896</v>
      </c>
    </row>
    <row r="10" spans="1:11" s="6" customFormat="1" ht="14.25" customHeight="1">
      <c r="B10" s="628"/>
      <c r="C10" s="873" t="s">
        <v>897</v>
      </c>
      <c r="D10" s="873"/>
      <c r="E10" s="873"/>
      <c r="F10" s="873"/>
      <c r="G10" s="873"/>
      <c r="H10" s="873"/>
      <c r="I10" s="873"/>
      <c r="J10" s="873"/>
      <c r="K10" s="630" t="s">
        <v>898</v>
      </c>
    </row>
    <row r="11" spans="1:11" s="6" customFormat="1" ht="15" customHeight="1">
      <c r="B11" s="628"/>
      <c r="C11" s="775"/>
      <c r="D11" s="776"/>
      <c r="E11" s="776"/>
      <c r="F11" s="776"/>
      <c r="G11" s="776"/>
      <c r="H11" s="12"/>
      <c r="J11" s="632"/>
      <c r="K11" s="630" t="s">
        <v>899</v>
      </c>
    </row>
    <row r="12" spans="1:11" s="6" customFormat="1" ht="15" customHeight="1">
      <c r="B12" s="633"/>
      <c r="C12" s="514"/>
      <c r="D12" s="515"/>
      <c r="E12" s="515"/>
      <c r="F12" s="515"/>
      <c r="G12" s="515"/>
      <c r="H12" s="12"/>
      <c r="J12" s="634"/>
      <c r="K12" s="630" t="s">
        <v>900</v>
      </c>
    </row>
    <row r="13" spans="1:11" s="6" customFormat="1" ht="15" customHeight="1">
      <c r="B13" s="633"/>
      <c r="C13" s="514"/>
      <c r="D13" s="515"/>
      <c r="E13" s="515"/>
      <c r="F13" s="515"/>
      <c r="G13" s="515"/>
      <c r="H13" s="12"/>
      <c r="J13" s="635"/>
      <c r="K13" s="630" t="s">
        <v>26</v>
      </c>
    </row>
    <row r="14" spans="1:11" s="6" customFormat="1" ht="15" customHeight="1" thickBot="1">
      <c r="B14" s="636"/>
      <c r="C14" s="637"/>
      <c r="D14" s="638"/>
      <c r="E14" s="638"/>
      <c r="F14" s="638"/>
      <c r="G14" s="638"/>
      <c r="H14" s="639"/>
      <c r="J14" s="640"/>
      <c r="K14" s="630" t="s">
        <v>901</v>
      </c>
    </row>
    <row r="15" spans="1:11" ht="30" customHeight="1" thickBot="1">
      <c r="B15" s="771" t="s">
        <v>2</v>
      </c>
      <c r="C15" s="772"/>
      <c r="D15" s="772"/>
      <c r="E15" s="772"/>
      <c r="F15" s="772"/>
      <c r="G15" s="772"/>
      <c r="H15" s="772"/>
      <c r="I15" s="773"/>
    </row>
    <row r="16" spans="1:11" ht="14.25" thickTop="1" thickBot="1">
      <c r="A16" s="105"/>
      <c r="B16" s="103">
        <v>4</v>
      </c>
      <c r="C16" s="657" t="s">
        <v>35</v>
      </c>
      <c r="D16" s="658"/>
      <c r="E16" s="658"/>
      <c r="F16" s="658"/>
      <c r="G16" s="658"/>
      <c r="H16" s="658"/>
      <c r="I16" s="659"/>
      <c r="J16" s="2">
        <v>4</v>
      </c>
    </row>
    <row r="17" spans="1:16" ht="45" customHeight="1" thickTop="1" thickBot="1">
      <c r="A17" s="105"/>
      <c r="B17" s="586">
        <v>96521</v>
      </c>
      <c r="C17" s="587" t="s">
        <v>837</v>
      </c>
      <c r="D17" s="758" t="s">
        <v>838</v>
      </c>
      <c r="E17" s="759"/>
      <c r="F17" s="759"/>
      <c r="G17" s="760"/>
      <c r="H17" s="588">
        <v>645.63196625000216</v>
      </c>
      <c r="I17" s="589" t="s">
        <v>8</v>
      </c>
    </row>
    <row r="18" spans="1:16" ht="45" customHeight="1" thickTop="1" thickBot="1">
      <c r="A18" s="105"/>
      <c r="B18" s="586">
        <v>96525</v>
      </c>
      <c r="C18" s="587" t="s">
        <v>839</v>
      </c>
      <c r="D18" s="758" t="s">
        <v>838</v>
      </c>
      <c r="E18" s="759"/>
      <c r="F18" s="759"/>
      <c r="G18" s="760"/>
      <c r="H18" s="588">
        <v>197.77207500000006</v>
      </c>
      <c r="I18" s="589" t="s">
        <v>8</v>
      </c>
    </row>
    <row r="19" spans="1:16" ht="61.9" customHeight="1" thickTop="1" thickBot="1">
      <c r="A19" s="105"/>
      <c r="B19" s="586">
        <v>93379</v>
      </c>
      <c r="C19" s="587" t="s">
        <v>840</v>
      </c>
      <c r="D19" s="758" t="s">
        <v>838</v>
      </c>
      <c r="E19" s="759"/>
      <c r="F19" s="759"/>
      <c r="G19" s="760"/>
      <c r="H19" s="588">
        <v>1343</v>
      </c>
      <c r="I19" s="589" t="s">
        <v>8</v>
      </c>
    </row>
    <row r="20" spans="1:16" ht="14.25" thickTop="1" thickBot="1">
      <c r="A20" s="105"/>
      <c r="B20" s="103">
        <v>5</v>
      </c>
      <c r="C20" s="657" t="s">
        <v>11</v>
      </c>
      <c r="D20" s="658"/>
      <c r="E20" s="658"/>
      <c r="F20" s="658"/>
      <c r="G20" s="658"/>
      <c r="H20" s="658"/>
      <c r="I20" s="659"/>
      <c r="J20" s="2">
        <v>5</v>
      </c>
    </row>
    <row r="21" spans="1:16" ht="14.25" thickTop="1" thickBot="1">
      <c r="A21" s="105"/>
      <c r="B21" s="106" t="s">
        <v>841</v>
      </c>
      <c r="C21" s="590" t="s">
        <v>842</v>
      </c>
      <c r="D21" s="591"/>
      <c r="E21" s="591"/>
      <c r="F21" s="591"/>
      <c r="G21" s="591"/>
      <c r="H21" s="591"/>
      <c r="I21" s="592"/>
      <c r="J21" s="2">
        <v>5</v>
      </c>
    </row>
    <row r="22" spans="1:16" s="8" customFormat="1" ht="39.75" thickTop="1" thickBot="1">
      <c r="A22" s="105"/>
      <c r="B22" s="586" t="s">
        <v>843</v>
      </c>
      <c r="C22" s="587" t="s">
        <v>844</v>
      </c>
      <c r="D22" s="758" t="s">
        <v>838</v>
      </c>
      <c r="E22" s="759"/>
      <c r="F22" s="759"/>
      <c r="G22" s="760"/>
      <c r="H22" s="593">
        <v>1343.4499999999962</v>
      </c>
      <c r="I22" s="589" t="s">
        <v>1</v>
      </c>
      <c r="J22" s="608" t="s">
        <v>877</v>
      </c>
    </row>
    <row r="23" spans="1:16" s="8" customFormat="1" ht="27" thickTop="1" thickBot="1">
      <c r="A23" s="105"/>
      <c r="B23" s="586">
        <v>95601</v>
      </c>
      <c r="C23" s="587" t="s">
        <v>845</v>
      </c>
      <c r="D23" s="758" t="s">
        <v>838</v>
      </c>
      <c r="E23" s="759"/>
      <c r="F23" s="759"/>
      <c r="G23" s="760"/>
      <c r="H23" s="593">
        <v>330</v>
      </c>
      <c r="I23" s="589" t="s">
        <v>0</v>
      </c>
      <c r="J23" s="609"/>
    </row>
    <row r="24" spans="1:16" s="8" customFormat="1" ht="27" thickTop="1" thickBot="1">
      <c r="A24" s="105"/>
      <c r="B24" s="586">
        <v>95583</v>
      </c>
      <c r="C24" s="587" t="s">
        <v>846</v>
      </c>
      <c r="D24" s="758" t="s">
        <v>838</v>
      </c>
      <c r="E24" s="759"/>
      <c r="F24" s="759"/>
      <c r="G24" s="760"/>
      <c r="H24" s="593">
        <v>1213.1812</v>
      </c>
      <c r="I24" s="589" t="s">
        <v>0</v>
      </c>
      <c r="J24" s="609"/>
    </row>
    <row r="25" spans="1:16" s="8" customFormat="1" ht="14.25" thickTop="1" thickBot="1">
      <c r="A25" s="105"/>
      <c r="B25" s="586">
        <v>95577</v>
      </c>
      <c r="C25" s="587" t="s">
        <v>847</v>
      </c>
      <c r="D25" s="758" t="s">
        <v>838</v>
      </c>
      <c r="E25" s="759"/>
      <c r="F25" s="759"/>
      <c r="G25" s="760"/>
      <c r="H25" s="593">
        <v>4166.2307999999994</v>
      </c>
      <c r="I25" s="589" t="s">
        <v>0</v>
      </c>
      <c r="J25" s="609"/>
    </row>
    <row r="26" spans="1:16" ht="14.25" thickTop="1" thickBot="1">
      <c r="A26" s="105"/>
      <c r="B26" s="106" t="s">
        <v>848</v>
      </c>
      <c r="C26" s="590" t="s">
        <v>849</v>
      </c>
      <c r="D26" s="591"/>
      <c r="E26" s="591"/>
      <c r="F26" s="591"/>
      <c r="G26" s="591"/>
      <c r="H26" s="591"/>
      <c r="I26" s="592"/>
      <c r="J26" s="2">
        <v>5</v>
      </c>
    </row>
    <row r="27" spans="1:16" s="8" customFormat="1" ht="27" thickTop="1" thickBot="1">
      <c r="A27" s="105"/>
      <c r="B27" s="586">
        <v>96619</v>
      </c>
      <c r="C27" s="587" t="s">
        <v>850</v>
      </c>
      <c r="D27" s="758" t="s">
        <v>838</v>
      </c>
      <c r="E27" s="759"/>
      <c r="F27" s="759"/>
      <c r="G27" s="760"/>
      <c r="H27" s="593">
        <v>207.89039999999923</v>
      </c>
      <c r="I27" s="589" t="s">
        <v>9</v>
      </c>
      <c r="J27" s="609"/>
    </row>
    <row r="28" spans="1:16" s="8" customFormat="1" ht="27" thickTop="1" thickBot="1">
      <c r="A28" s="105"/>
      <c r="B28" s="586">
        <v>96534</v>
      </c>
      <c r="C28" s="587" t="s">
        <v>851</v>
      </c>
      <c r="D28" s="758" t="s">
        <v>838</v>
      </c>
      <c r="E28" s="759"/>
      <c r="F28" s="759"/>
      <c r="G28" s="760"/>
      <c r="H28" s="593">
        <v>627.32350000000167</v>
      </c>
      <c r="I28" s="589" t="s">
        <v>9</v>
      </c>
      <c r="J28" s="609"/>
    </row>
    <row r="29" spans="1:16" s="8" customFormat="1" ht="14.25" thickTop="1" thickBot="1">
      <c r="A29" s="105"/>
      <c r="B29" s="586">
        <v>96543</v>
      </c>
      <c r="C29" s="587" t="s">
        <v>852</v>
      </c>
      <c r="D29" s="758" t="s">
        <v>838</v>
      </c>
      <c r="E29" s="759"/>
      <c r="F29" s="759"/>
      <c r="G29" s="760"/>
      <c r="H29" s="593">
        <v>22.397759999999998</v>
      </c>
      <c r="I29" s="589" t="s">
        <v>12</v>
      </c>
      <c r="J29" s="609"/>
      <c r="M29" s="610">
        <v>44369</v>
      </c>
      <c r="N29" s="610">
        <f>P29-O29</f>
        <v>44459</v>
      </c>
      <c r="O29" s="8">
        <v>105</v>
      </c>
      <c r="P29" s="610">
        <v>44564</v>
      </c>
    </row>
    <row r="30" spans="1:16" s="8" customFormat="1" ht="14.25" thickTop="1" thickBot="1">
      <c r="A30" s="105"/>
      <c r="B30" s="586">
        <v>96544</v>
      </c>
      <c r="C30" s="587" t="s">
        <v>853</v>
      </c>
      <c r="D30" s="758" t="s">
        <v>838</v>
      </c>
      <c r="E30" s="759"/>
      <c r="F30" s="759"/>
      <c r="G30" s="760"/>
      <c r="H30" s="593">
        <v>223.72910000000002</v>
      </c>
      <c r="I30" s="589" t="s">
        <v>12</v>
      </c>
      <c r="J30" s="609"/>
      <c r="N30" s="8">
        <f>N29-M29</f>
        <v>90</v>
      </c>
    </row>
    <row r="31" spans="1:16" s="8" customFormat="1" ht="14.25" thickTop="1" thickBot="1">
      <c r="A31" s="105"/>
      <c r="B31" s="586">
        <v>96545</v>
      </c>
      <c r="C31" s="594" t="s">
        <v>854</v>
      </c>
      <c r="D31" s="758" t="s">
        <v>838</v>
      </c>
      <c r="E31" s="759"/>
      <c r="F31" s="759"/>
      <c r="G31" s="760"/>
      <c r="H31" s="595">
        <v>3153.9802</v>
      </c>
      <c r="I31" s="589" t="s">
        <v>12</v>
      </c>
      <c r="J31" s="609"/>
    </row>
    <row r="32" spans="1:16" s="8" customFormat="1" ht="14.25" thickTop="1" thickBot="1">
      <c r="A32" s="105"/>
      <c r="B32" s="586">
        <v>96546</v>
      </c>
      <c r="C32" s="594" t="s">
        <v>855</v>
      </c>
      <c r="D32" s="758" t="s">
        <v>838</v>
      </c>
      <c r="E32" s="759"/>
      <c r="F32" s="759"/>
      <c r="G32" s="760"/>
      <c r="H32" s="595">
        <v>199.43908000000002</v>
      </c>
      <c r="I32" s="589" t="s">
        <v>12</v>
      </c>
      <c r="J32" s="609"/>
    </row>
    <row r="33" spans="1:10" s="8" customFormat="1" ht="27" thickTop="1" thickBot="1">
      <c r="A33" s="105"/>
      <c r="B33" s="586">
        <v>104920</v>
      </c>
      <c r="C33" s="594" t="s">
        <v>856</v>
      </c>
      <c r="D33" s="758" t="s">
        <v>838</v>
      </c>
      <c r="E33" s="759"/>
      <c r="F33" s="759"/>
      <c r="G33" s="760"/>
      <c r="H33" s="595">
        <v>898.06490999999983</v>
      </c>
      <c r="I33" s="589" t="s">
        <v>12</v>
      </c>
      <c r="J33" s="609"/>
    </row>
    <row r="34" spans="1:10" s="8" customFormat="1" ht="27" thickTop="1" thickBot="1">
      <c r="A34" s="105"/>
      <c r="B34" s="586">
        <v>104921</v>
      </c>
      <c r="C34" s="594" t="s">
        <v>857</v>
      </c>
      <c r="D34" s="758" t="s">
        <v>838</v>
      </c>
      <c r="E34" s="759"/>
      <c r="F34" s="759"/>
      <c r="G34" s="760"/>
      <c r="H34" s="595">
        <v>403.33680000000004</v>
      </c>
      <c r="I34" s="589" t="s">
        <v>12</v>
      </c>
      <c r="J34" s="609"/>
    </row>
    <row r="35" spans="1:10" s="8" customFormat="1" ht="27" thickTop="1" thickBot="1">
      <c r="A35" s="105"/>
      <c r="B35" s="586" t="s">
        <v>858</v>
      </c>
      <c r="C35" s="596" t="s">
        <v>859</v>
      </c>
      <c r="D35" s="758" t="s">
        <v>838</v>
      </c>
      <c r="E35" s="759"/>
      <c r="F35" s="759"/>
      <c r="G35" s="760"/>
      <c r="H35" s="593">
        <v>145.11179250000001</v>
      </c>
      <c r="I35" s="589" t="s">
        <v>8</v>
      </c>
      <c r="J35" s="609"/>
    </row>
    <row r="36" spans="1:10" ht="14.25" thickTop="1" thickBot="1">
      <c r="A36" s="105"/>
      <c r="B36" s="597" t="s">
        <v>902</v>
      </c>
      <c r="C36" s="590" t="s">
        <v>34</v>
      </c>
      <c r="D36" s="591"/>
      <c r="E36" s="591"/>
      <c r="F36" s="591"/>
      <c r="G36" s="591"/>
      <c r="H36" s="591"/>
      <c r="I36" s="592"/>
      <c r="J36" s="2">
        <v>5</v>
      </c>
    </row>
    <row r="37" spans="1:10" s="8" customFormat="1" ht="27" thickTop="1" thickBot="1">
      <c r="A37" s="105"/>
      <c r="B37" s="586">
        <v>96619</v>
      </c>
      <c r="C37" s="587" t="s">
        <v>850</v>
      </c>
      <c r="D37" s="758" t="s">
        <v>838</v>
      </c>
      <c r="E37" s="759"/>
      <c r="F37" s="759"/>
      <c r="G37" s="760"/>
      <c r="H37" s="593">
        <v>251.30099999999993</v>
      </c>
      <c r="I37" s="589" t="s">
        <v>9</v>
      </c>
      <c r="J37" s="609"/>
    </row>
    <row r="38" spans="1:10" s="8" customFormat="1" ht="27" thickTop="1" thickBot="1">
      <c r="A38" s="105"/>
      <c r="B38" s="586">
        <v>96536</v>
      </c>
      <c r="C38" s="587" t="s">
        <v>860</v>
      </c>
      <c r="D38" s="758" t="s">
        <v>838</v>
      </c>
      <c r="E38" s="759"/>
      <c r="F38" s="759"/>
      <c r="G38" s="760"/>
      <c r="H38" s="593">
        <v>1288.8279999999991</v>
      </c>
      <c r="I38" s="589" t="s">
        <v>9</v>
      </c>
      <c r="J38" s="609"/>
    </row>
    <row r="39" spans="1:10" s="8" customFormat="1" ht="27" thickTop="1" thickBot="1">
      <c r="A39" s="105"/>
      <c r="B39" s="586">
        <v>92759</v>
      </c>
      <c r="C39" s="594" t="s">
        <v>861</v>
      </c>
      <c r="D39" s="758" t="s">
        <v>838</v>
      </c>
      <c r="E39" s="759"/>
      <c r="F39" s="759"/>
      <c r="G39" s="760"/>
      <c r="H39" s="598">
        <v>568.18453999999906</v>
      </c>
      <c r="I39" s="589" t="s">
        <v>12</v>
      </c>
      <c r="J39" s="609"/>
    </row>
    <row r="40" spans="1:10" s="8" customFormat="1" ht="27" thickTop="1" thickBot="1">
      <c r="A40" s="105"/>
      <c r="B40" s="586">
        <v>92761</v>
      </c>
      <c r="C40" s="594" t="s">
        <v>862</v>
      </c>
      <c r="D40" s="758" t="s">
        <v>838</v>
      </c>
      <c r="E40" s="759"/>
      <c r="F40" s="759"/>
      <c r="G40" s="760"/>
      <c r="H40" s="595">
        <v>4.6452</v>
      </c>
      <c r="I40" s="589" t="s">
        <v>12</v>
      </c>
      <c r="J40" s="609"/>
    </row>
    <row r="41" spans="1:10" ht="27" thickTop="1" thickBot="1">
      <c r="A41" s="105"/>
      <c r="B41" s="586">
        <v>92762</v>
      </c>
      <c r="C41" s="594" t="s">
        <v>863</v>
      </c>
      <c r="D41" s="758" t="s">
        <v>838</v>
      </c>
      <c r="E41" s="759"/>
      <c r="F41" s="759"/>
      <c r="G41" s="760"/>
      <c r="H41" s="595">
        <v>781.02327999999943</v>
      </c>
      <c r="I41" s="589" t="s">
        <v>12</v>
      </c>
      <c r="J41" s="9"/>
    </row>
    <row r="42" spans="1:10" ht="27" thickTop="1" thickBot="1">
      <c r="A42" s="105"/>
      <c r="B42" s="586">
        <v>92763</v>
      </c>
      <c r="C42" s="594" t="s">
        <v>864</v>
      </c>
      <c r="D42" s="758" t="s">
        <v>838</v>
      </c>
      <c r="E42" s="759"/>
      <c r="F42" s="759"/>
      <c r="G42" s="760"/>
      <c r="H42" s="595">
        <v>680.34023999999988</v>
      </c>
      <c r="I42" s="589" t="s">
        <v>12</v>
      </c>
      <c r="J42" s="9"/>
    </row>
    <row r="43" spans="1:10" ht="27" thickTop="1" thickBot="1">
      <c r="A43" s="105"/>
      <c r="B43" s="586">
        <v>92764</v>
      </c>
      <c r="C43" s="594" t="s">
        <v>865</v>
      </c>
      <c r="D43" s="758" t="s">
        <v>838</v>
      </c>
      <c r="E43" s="759"/>
      <c r="F43" s="759"/>
      <c r="G43" s="760"/>
      <c r="H43" s="595">
        <v>861.90359999999976</v>
      </c>
      <c r="I43" s="589" t="s">
        <v>12</v>
      </c>
      <c r="J43" s="9"/>
    </row>
    <row r="44" spans="1:10" ht="27" thickTop="1" thickBot="1">
      <c r="A44" s="105"/>
      <c r="B44" s="586">
        <v>92765</v>
      </c>
      <c r="C44" s="594" t="s">
        <v>866</v>
      </c>
      <c r="D44" s="758" t="s">
        <v>838</v>
      </c>
      <c r="E44" s="759"/>
      <c r="F44" s="759"/>
      <c r="G44" s="760"/>
      <c r="H44" s="595">
        <v>549.17820000000006</v>
      </c>
      <c r="I44" s="589" t="s">
        <v>12</v>
      </c>
      <c r="J44" s="9"/>
    </row>
    <row r="45" spans="1:10" s="8" customFormat="1" ht="27" thickTop="1" thickBot="1">
      <c r="A45" s="105"/>
      <c r="B45" s="586">
        <v>104916</v>
      </c>
      <c r="C45" s="587" t="s">
        <v>867</v>
      </c>
      <c r="D45" s="758" t="s">
        <v>838</v>
      </c>
      <c r="E45" s="759"/>
      <c r="F45" s="759"/>
      <c r="G45" s="760"/>
      <c r="H45" s="593">
        <v>1176.9973599999989</v>
      </c>
      <c r="I45" s="589" t="s">
        <v>12</v>
      </c>
      <c r="J45" s="609"/>
    </row>
    <row r="46" spans="1:10" s="8" customFormat="1" ht="27" thickTop="1" thickBot="1">
      <c r="A46" s="105"/>
      <c r="B46" s="586">
        <v>104917</v>
      </c>
      <c r="C46" s="587" t="s">
        <v>868</v>
      </c>
      <c r="D46" s="758" t="s">
        <v>838</v>
      </c>
      <c r="E46" s="759"/>
      <c r="F46" s="759"/>
      <c r="G46" s="760"/>
      <c r="H46" s="593">
        <v>1.0437000000000001</v>
      </c>
      <c r="I46" s="589" t="s">
        <v>12</v>
      </c>
      <c r="J46" s="609"/>
    </row>
    <row r="47" spans="1:10" s="8" customFormat="1" ht="27" thickTop="1" thickBot="1">
      <c r="A47" s="105"/>
      <c r="B47" s="586">
        <v>104918</v>
      </c>
      <c r="C47" s="587" t="s">
        <v>869</v>
      </c>
      <c r="D47" s="758" t="s">
        <v>838</v>
      </c>
      <c r="E47" s="759"/>
      <c r="F47" s="759"/>
      <c r="G47" s="760"/>
      <c r="H47" s="593">
        <v>2304.2245999999973</v>
      </c>
      <c r="I47" s="589" t="s">
        <v>12</v>
      </c>
      <c r="J47" s="609"/>
    </row>
    <row r="48" spans="1:10" s="8" customFormat="1" ht="27" thickTop="1" thickBot="1">
      <c r="A48" s="105"/>
      <c r="B48" s="586">
        <v>104919</v>
      </c>
      <c r="C48" s="587" t="s">
        <v>870</v>
      </c>
      <c r="D48" s="758" t="s">
        <v>838</v>
      </c>
      <c r="E48" s="759"/>
      <c r="F48" s="759"/>
      <c r="G48" s="760"/>
      <c r="H48" s="593">
        <v>1208.9991600000003</v>
      </c>
      <c r="I48" s="589" t="s">
        <v>12</v>
      </c>
      <c r="J48" s="609"/>
    </row>
    <row r="49" spans="1:11" s="8" customFormat="1" ht="30.6" customHeight="1" thickTop="1" thickBot="1">
      <c r="A49" s="105"/>
      <c r="B49" s="586">
        <v>104920</v>
      </c>
      <c r="C49" s="599" t="s">
        <v>856</v>
      </c>
      <c r="D49" s="758" t="s">
        <v>838</v>
      </c>
      <c r="E49" s="759"/>
      <c r="F49" s="759"/>
      <c r="G49" s="760"/>
      <c r="H49" s="593">
        <v>272.50973999999991</v>
      </c>
      <c r="I49" s="589" t="s">
        <v>8</v>
      </c>
      <c r="J49" s="609"/>
    </row>
    <row r="50" spans="1:11" s="8" customFormat="1" ht="30.6" customHeight="1" thickTop="1" thickBot="1">
      <c r="A50" s="105"/>
      <c r="B50" s="586">
        <v>104921</v>
      </c>
      <c r="C50" s="599" t="s">
        <v>857</v>
      </c>
      <c r="D50" s="758" t="s">
        <v>838</v>
      </c>
      <c r="E50" s="759"/>
      <c r="F50" s="759"/>
      <c r="G50" s="760"/>
      <c r="H50" s="593">
        <v>7.4797200000000004</v>
      </c>
      <c r="I50" s="589" t="s">
        <v>8</v>
      </c>
      <c r="J50" s="609"/>
    </row>
    <row r="51" spans="1:11" s="8" customFormat="1" ht="27" thickTop="1" thickBot="1">
      <c r="A51" s="105"/>
      <c r="B51" s="586" t="s">
        <v>858</v>
      </c>
      <c r="C51" s="596" t="s">
        <v>859</v>
      </c>
      <c r="D51" s="758" t="s">
        <v>838</v>
      </c>
      <c r="E51" s="759"/>
      <c r="F51" s="759"/>
      <c r="G51" s="760"/>
      <c r="H51" s="593">
        <v>100.76130000000001</v>
      </c>
      <c r="I51" s="589" t="s">
        <v>8</v>
      </c>
      <c r="J51" s="609"/>
    </row>
    <row r="52" spans="1:11" ht="30" customHeight="1" thickTop="1" thickBot="1">
      <c r="A52" s="105"/>
      <c r="B52" s="103">
        <v>6</v>
      </c>
      <c r="C52" s="654" t="s">
        <v>871</v>
      </c>
      <c r="D52" s="655"/>
      <c r="E52" s="655"/>
      <c r="F52" s="655"/>
      <c r="G52" s="655"/>
      <c r="H52" s="655"/>
      <c r="I52" s="656"/>
      <c r="J52" s="609">
        <v>6</v>
      </c>
    </row>
    <row r="53" spans="1:11" ht="30" customHeight="1" thickTop="1" thickBot="1">
      <c r="A53" s="105"/>
      <c r="B53" s="600" t="s">
        <v>903</v>
      </c>
      <c r="C53" s="590" t="s">
        <v>872</v>
      </c>
      <c r="D53" s="591"/>
      <c r="E53" s="591"/>
      <c r="F53" s="591"/>
      <c r="G53" s="591"/>
      <c r="H53" s="591"/>
      <c r="I53" s="592"/>
      <c r="J53" s="609">
        <v>6</v>
      </c>
    </row>
    <row r="54" spans="1:11" ht="39.75" thickTop="1" thickBot="1">
      <c r="A54" s="105"/>
      <c r="B54" s="586">
        <v>92443</v>
      </c>
      <c r="C54" s="587" t="s">
        <v>873</v>
      </c>
      <c r="D54" s="758" t="s">
        <v>838</v>
      </c>
      <c r="E54" s="759"/>
      <c r="F54" s="759"/>
      <c r="G54" s="760"/>
      <c r="H54" s="601">
        <v>1185.1400000000012</v>
      </c>
      <c r="I54" s="589" t="s">
        <v>9</v>
      </c>
      <c r="J54" s="609"/>
      <c r="K54" s="8"/>
    </row>
    <row r="55" spans="1:11" ht="39.75" thickTop="1" thickBot="1">
      <c r="A55" s="105"/>
      <c r="B55" s="602" t="s">
        <v>874</v>
      </c>
      <c r="C55" s="603" t="s">
        <v>875</v>
      </c>
      <c r="D55" s="844" t="s">
        <v>838</v>
      </c>
      <c r="E55" s="845"/>
      <c r="F55" s="845"/>
      <c r="G55" s="846"/>
      <c r="H55" s="604">
        <v>1855.4184000000007</v>
      </c>
      <c r="I55" s="605" t="s">
        <v>9</v>
      </c>
      <c r="J55" s="609"/>
      <c r="K55" s="8"/>
    </row>
    <row r="56" spans="1:11" s="8" customFormat="1" ht="27" thickTop="1" thickBot="1">
      <c r="A56" s="105"/>
      <c r="B56" s="586">
        <v>92759</v>
      </c>
      <c r="C56" s="594" t="s">
        <v>861</v>
      </c>
      <c r="D56" s="758" t="s">
        <v>838</v>
      </c>
      <c r="E56" s="759"/>
      <c r="F56" s="759"/>
      <c r="G56" s="760"/>
      <c r="H56" s="598">
        <v>4635.0042199999971</v>
      </c>
      <c r="I56" s="589" t="s">
        <v>12</v>
      </c>
      <c r="J56" s="609"/>
    </row>
    <row r="57" spans="1:11" ht="27" thickTop="1" thickBot="1">
      <c r="A57" s="105"/>
      <c r="B57" s="586">
        <v>92760</v>
      </c>
      <c r="C57" s="606" t="s">
        <v>876</v>
      </c>
      <c r="D57" s="758" t="s">
        <v>838</v>
      </c>
      <c r="E57" s="759"/>
      <c r="F57" s="759"/>
      <c r="G57" s="760"/>
      <c r="H57" s="607">
        <v>136.39885000000004</v>
      </c>
      <c r="I57" s="605" t="s">
        <v>12</v>
      </c>
      <c r="J57" s="609"/>
    </row>
    <row r="58" spans="1:11" ht="27" thickTop="1" thickBot="1">
      <c r="A58" s="105"/>
      <c r="B58" s="586">
        <v>92761</v>
      </c>
      <c r="C58" s="594" t="s">
        <v>862</v>
      </c>
      <c r="D58" s="758" t="s">
        <v>838</v>
      </c>
      <c r="E58" s="759"/>
      <c r="F58" s="759"/>
      <c r="G58" s="760"/>
      <c r="H58" s="607">
        <v>1813.8360500000006</v>
      </c>
      <c r="I58" s="605" t="s">
        <v>12</v>
      </c>
      <c r="J58" s="609"/>
    </row>
    <row r="59" spans="1:11" ht="27" thickTop="1" thickBot="1">
      <c r="A59" s="105"/>
      <c r="B59" s="586">
        <v>92762</v>
      </c>
      <c r="C59" s="594" t="s">
        <v>863</v>
      </c>
      <c r="D59" s="758" t="s">
        <v>838</v>
      </c>
      <c r="E59" s="759"/>
      <c r="F59" s="759"/>
      <c r="G59" s="760"/>
      <c r="H59" s="607">
        <v>5137.8762299999989</v>
      </c>
      <c r="I59" s="605" t="s">
        <v>12</v>
      </c>
      <c r="J59" s="609"/>
    </row>
    <row r="60" spans="1:11" ht="27" thickTop="1" thickBot="1">
      <c r="A60" s="105"/>
      <c r="B60" s="586">
        <v>92763</v>
      </c>
      <c r="C60" s="594" t="s">
        <v>864</v>
      </c>
      <c r="D60" s="758" t="s">
        <v>838</v>
      </c>
      <c r="E60" s="759"/>
      <c r="F60" s="759"/>
      <c r="G60" s="760"/>
      <c r="H60" s="588">
        <v>4939.255890000004</v>
      </c>
      <c r="I60" s="605" t="s">
        <v>12</v>
      </c>
      <c r="J60" s="609"/>
    </row>
    <row r="61" spans="1:11" s="612" customFormat="1" ht="27" thickTop="1" thickBot="1">
      <c r="A61" s="105"/>
      <c r="B61" s="586">
        <v>92764</v>
      </c>
      <c r="C61" s="594" t="s">
        <v>865</v>
      </c>
      <c r="D61" s="758" t="s">
        <v>838</v>
      </c>
      <c r="E61" s="759"/>
      <c r="F61" s="759"/>
      <c r="G61" s="760"/>
      <c r="H61" s="588">
        <v>4263.0301200000013</v>
      </c>
      <c r="I61" s="605" t="s">
        <v>12</v>
      </c>
      <c r="J61" s="611"/>
    </row>
    <row r="62" spans="1:11" s="612" customFormat="1" ht="27" thickTop="1" thickBot="1">
      <c r="A62" s="105"/>
      <c r="B62" s="586">
        <v>92765</v>
      </c>
      <c r="C62" s="594" t="s">
        <v>866</v>
      </c>
      <c r="D62" s="758" t="s">
        <v>838</v>
      </c>
      <c r="E62" s="759"/>
      <c r="F62" s="759"/>
      <c r="G62" s="760"/>
      <c r="H62" s="588">
        <v>2025.5097200000002</v>
      </c>
      <c r="I62" s="605" t="s">
        <v>12</v>
      </c>
      <c r="J62" s="611"/>
    </row>
    <row r="63" spans="1:11" s="612" customFormat="1" ht="27" thickTop="1" thickBot="1">
      <c r="A63" s="105"/>
      <c r="B63" s="586">
        <v>92766</v>
      </c>
      <c r="C63" s="599" t="s">
        <v>878</v>
      </c>
      <c r="D63" s="758" t="s">
        <v>838</v>
      </c>
      <c r="E63" s="759"/>
      <c r="F63" s="759"/>
      <c r="G63" s="760"/>
      <c r="H63" s="588">
        <v>377.68500000000006</v>
      </c>
      <c r="I63" s="605" t="s">
        <v>12</v>
      </c>
      <c r="J63" s="611"/>
    </row>
    <row r="64" spans="1:11" s="612" customFormat="1" ht="27" thickTop="1" thickBot="1">
      <c r="A64" s="105"/>
      <c r="B64" s="586">
        <v>103669</v>
      </c>
      <c r="C64" s="599" t="s">
        <v>879</v>
      </c>
      <c r="D64" s="758" t="s">
        <v>838</v>
      </c>
      <c r="E64" s="759"/>
      <c r="F64" s="759"/>
      <c r="G64" s="760"/>
      <c r="H64" s="613">
        <v>81.037250000000256</v>
      </c>
      <c r="I64" s="589" t="s">
        <v>8</v>
      </c>
      <c r="J64" s="611"/>
    </row>
    <row r="65" spans="1:26" ht="39.75" thickTop="1" thickBot="1">
      <c r="A65" s="105"/>
      <c r="B65" s="586">
        <v>103682</v>
      </c>
      <c r="C65" s="596" t="s">
        <v>880</v>
      </c>
      <c r="D65" s="758" t="s">
        <v>838</v>
      </c>
      <c r="E65" s="759"/>
      <c r="F65" s="759"/>
      <c r="G65" s="760"/>
      <c r="H65" s="613">
        <v>150.05667500000007</v>
      </c>
      <c r="I65" s="589" t="s">
        <v>8</v>
      </c>
      <c r="J65" s="609"/>
    </row>
    <row r="66" spans="1:26" s="617" customFormat="1" ht="12.75" customHeight="1" thickTop="1" thickBot="1">
      <c r="A66" s="614"/>
      <c r="B66" s="615" t="s">
        <v>904</v>
      </c>
      <c r="C66" s="651" t="s">
        <v>881</v>
      </c>
      <c r="D66" s="652"/>
      <c r="E66" s="652"/>
      <c r="F66" s="652"/>
      <c r="G66" s="652"/>
      <c r="H66" s="652"/>
      <c r="I66" s="653"/>
      <c r="J66" s="616"/>
      <c r="K66" s="614"/>
      <c r="L66" s="614"/>
      <c r="M66" s="614"/>
      <c r="N66" s="614"/>
      <c r="O66" s="614"/>
      <c r="P66" s="614"/>
      <c r="Q66" s="614"/>
      <c r="R66" s="614"/>
      <c r="S66" s="614"/>
      <c r="T66" s="614"/>
      <c r="U66" s="614"/>
      <c r="V66" s="614"/>
      <c r="W66" s="614"/>
      <c r="X66" s="614"/>
      <c r="Y66" s="614"/>
      <c r="Z66" s="614"/>
    </row>
    <row r="67" spans="1:26" s="617" customFormat="1" ht="27" customHeight="1" thickTop="1" thickBot="1">
      <c r="A67" s="614"/>
      <c r="B67" s="618">
        <v>92514</v>
      </c>
      <c r="C67" s="619" t="s">
        <v>882</v>
      </c>
      <c r="D67" s="847" t="s">
        <v>838</v>
      </c>
      <c r="E67" s="848"/>
      <c r="F67" s="848"/>
      <c r="G67" s="849"/>
      <c r="H67" s="620">
        <v>156.52800000000002</v>
      </c>
      <c r="I67" s="621" t="s">
        <v>9</v>
      </c>
      <c r="J67" s="622"/>
      <c r="K67" s="614"/>
      <c r="L67" s="614"/>
      <c r="M67" s="614"/>
      <c r="N67" s="614"/>
      <c r="O67" s="614"/>
      <c r="P67" s="614"/>
      <c r="Q67" s="614"/>
      <c r="R67" s="614"/>
      <c r="S67" s="614"/>
      <c r="T67" s="614"/>
      <c r="U67" s="614"/>
      <c r="V67" s="614"/>
      <c r="W67" s="614"/>
      <c r="X67" s="614"/>
      <c r="Y67" s="614"/>
      <c r="Z67" s="614"/>
    </row>
    <row r="68" spans="1:26" s="617" customFormat="1" ht="27" thickTop="1" thickBot="1">
      <c r="A68" s="614"/>
      <c r="B68" s="618">
        <v>92768</v>
      </c>
      <c r="C68" s="619" t="s">
        <v>883</v>
      </c>
      <c r="D68" s="847" t="s">
        <v>838</v>
      </c>
      <c r="E68" s="848"/>
      <c r="F68" s="848"/>
      <c r="G68" s="849"/>
      <c r="H68" s="620">
        <v>84.927919999999986</v>
      </c>
      <c r="I68" s="621" t="s">
        <v>12</v>
      </c>
      <c r="J68" s="623"/>
      <c r="K68" s="614"/>
      <c r="L68" s="614"/>
      <c r="M68" s="614"/>
      <c r="N68" s="614"/>
      <c r="O68" s="614"/>
      <c r="P68" s="614"/>
      <c r="Q68" s="614"/>
      <c r="R68" s="614"/>
      <c r="S68" s="614"/>
      <c r="T68" s="614"/>
      <c r="U68" s="614"/>
      <c r="V68" s="614"/>
      <c r="W68" s="614"/>
      <c r="X68" s="614"/>
      <c r="Y68" s="614"/>
      <c r="Z68" s="614"/>
    </row>
    <row r="69" spans="1:26" s="617" customFormat="1" ht="27" thickTop="1" thickBot="1">
      <c r="A69" s="614"/>
      <c r="B69" s="618">
        <v>92769</v>
      </c>
      <c r="C69" s="619" t="s">
        <v>884</v>
      </c>
      <c r="D69" s="847" t="s">
        <v>838</v>
      </c>
      <c r="E69" s="848"/>
      <c r="F69" s="848"/>
      <c r="G69" s="849"/>
      <c r="H69" s="620">
        <v>354.48314999999991</v>
      </c>
      <c r="I69" s="621" t="s">
        <v>12</v>
      </c>
      <c r="J69" s="623"/>
      <c r="K69" s="614"/>
      <c r="L69" s="614"/>
      <c r="M69" s="614"/>
      <c r="N69" s="614"/>
      <c r="O69" s="614"/>
      <c r="P69" s="614"/>
      <c r="Q69" s="614"/>
      <c r="R69" s="614"/>
      <c r="S69" s="614"/>
      <c r="T69" s="614"/>
      <c r="U69" s="614"/>
      <c r="V69" s="614"/>
      <c r="W69" s="614"/>
      <c r="X69" s="614"/>
      <c r="Y69" s="614"/>
      <c r="Z69" s="614"/>
    </row>
    <row r="70" spans="1:26" s="617" customFormat="1" ht="39.75" thickTop="1" thickBot="1">
      <c r="A70" s="614"/>
      <c r="B70" s="586">
        <v>103682</v>
      </c>
      <c r="C70" s="596" t="s">
        <v>880</v>
      </c>
      <c r="D70" s="847" t="s">
        <v>838</v>
      </c>
      <c r="E70" s="848"/>
      <c r="F70" s="848"/>
      <c r="G70" s="849"/>
      <c r="H70" s="620">
        <v>15.48986</v>
      </c>
      <c r="I70" s="621" t="s">
        <v>12</v>
      </c>
      <c r="J70" s="623"/>
      <c r="K70" s="614"/>
      <c r="L70" s="614"/>
      <c r="M70" s="614"/>
      <c r="N70" s="614"/>
      <c r="O70" s="614"/>
      <c r="P70" s="614"/>
      <c r="Q70" s="614"/>
      <c r="R70" s="614"/>
      <c r="S70" s="614"/>
      <c r="T70" s="614"/>
      <c r="U70" s="614"/>
      <c r="V70" s="614"/>
      <c r="W70" s="614"/>
      <c r="X70" s="614"/>
      <c r="Y70" s="614"/>
      <c r="Z70" s="614"/>
    </row>
    <row r="71" spans="1:26" s="617" customFormat="1" ht="12.75" customHeight="1" thickTop="1" thickBot="1">
      <c r="A71" s="614"/>
      <c r="B71" s="615" t="s">
        <v>904</v>
      </c>
      <c r="C71" s="651" t="s">
        <v>905</v>
      </c>
      <c r="D71" s="652"/>
      <c r="E71" s="652"/>
      <c r="F71" s="652"/>
      <c r="G71" s="652"/>
      <c r="H71" s="652"/>
      <c r="I71" s="653"/>
      <c r="J71" s="616"/>
      <c r="K71" s="614"/>
      <c r="L71" s="614"/>
      <c r="M71" s="614"/>
      <c r="N71" s="614"/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4"/>
      <c r="Z71" s="614"/>
    </row>
    <row r="72" spans="1:26" s="617" customFormat="1" ht="27" customHeight="1" thickTop="1" thickBot="1">
      <c r="A72" s="614"/>
      <c r="B72" s="618">
        <v>98557</v>
      </c>
      <c r="C72" s="619" t="s">
        <v>906</v>
      </c>
      <c r="D72" s="847" t="s">
        <v>838</v>
      </c>
      <c r="E72" s="848"/>
      <c r="F72" s="848"/>
      <c r="G72" s="849"/>
      <c r="H72" s="620">
        <v>1560.1209999999992</v>
      </c>
      <c r="I72" s="621" t="s">
        <v>9</v>
      </c>
      <c r="J72" s="622"/>
      <c r="K72" s="614"/>
      <c r="L72" s="614"/>
      <c r="M72" s="614"/>
      <c r="N72" s="614"/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</row>
    <row r="73" spans="1:26" s="617" customFormat="1" ht="48.75" customHeight="1" thickTop="1" thickBot="1">
      <c r="A73" s="614"/>
      <c r="B73" s="859">
        <v>87755</v>
      </c>
      <c r="C73" s="862" t="s">
        <v>907</v>
      </c>
      <c r="D73" s="641" t="s">
        <v>908</v>
      </c>
      <c r="E73" s="642" t="s">
        <v>909</v>
      </c>
      <c r="F73" s="642" t="s">
        <v>910</v>
      </c>
      <c r="G73" s="643">
        <f>1.8*7.8</f>
        <v>14.04</v>
      </c>
      <c r="H73" s="865">
        <v>91.22399999999999</v>
      </c>
      <c r="I73" s="871"/>
      <c r="J73" s="622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4"/>
      <c r="Z73" s="614"/>
    </row>
    <row r="74" spans="1:26" s="617" customFormat="1" ht="60" customHeight="1" thickTop="1" thickBot="1">
      <c r="A74" s="614"/>
      <c r="B74" s="860"/>
      <c r="C74" s="863"/>
      <c r="D74" s="644" t="s">
        <v>911</v>
      </c>
      <c r="E74" s="642" t="s">
        <v>909</v>
      </c>
      <c r="F74" s="642" t="s">
        <v>912</v>
      </c>
      <c r="G74" s="643">
        <f>1.8*7.8+1.8*3.88</f>
        <v>21.024000000000001</v>
      </c>
      <c r="H74" s="866"/>
      <c r="I74" s="869"/>
      <c r="J74" s="622"/>
      <c r="K74" s="614"/>
      <c r="L74" s="614"/>
      <c r="M74" s="614"/>
      <c r="N74" s="614"/>
      <c r="O74" s="614"/>
      <c r="P74" s="614"/>
      <c r="Q74" s="614"/>
      <c r="R74" s="614"/>
      <c r="S74" s="614"/>
      <c r="T74" s="614"/>
      <c r="U74" s="614"/>
      <c r="V74" s="614"/>
      <c r="W74" s="614"/>
      <c r="X74" s="614"/>
      <c r="Y74" s="614"/>
      <c r="Z74" s="614"/>
    </row>
    <row r="75" spans="1:26" s="617" customFormat="1" ht="62.25" customHeight="1" thickTop="1" thickBot="1">
      <c r="A75" s="614"/>
      <c r="B75" s="860"/>
      <c r="C75" s="863"/>
      <c r="D75" s="644" t="s">
        <v>913</v>
      </c>
      <c r="E75" s="642" t="s">
        <v>909</v>
      </c>
      <c r="F75" s="642" t="s">
        <v>914</v>
      </c>
      <c r="G75" s="643">
        <f>(1.8*7.8)*2</f>
        <v>28.08</v>
      </c>
      <c r="H75" s="866"/>
      <c r="I75" s="869"/>
      <c r="J75" s="622"/>
      <c r="K75" s="614"/>
      <c r="L75" s="614"/>
      <c r="M75" s="614"/>
      <c r="N75" s="614"/>
      <c r="O75" s="614"/>
      <c r="P75" s="614"/>
      <c r="Q75" s="614"/>
      <c r="R75" s="614"/>
      <c r="S75" s="614"/>
      <c r="T75" s="614"/>
      <c r="U75" s="614"/>
      <c r="V75" s="614"/>
      <c r="W75" s="614"/>
      <c r="X75" s="614"/>
      <c r="Y75" s="614"/>
      <c r="Z75" s="614"/>
    </row>
    <row r="76" spans="1:26" s="617" customFormat="1" ht="60.75" customHeight="1" thickTop="1" thickBot="1">
      <c r="A76" s="614"/>
      <c r="B76" s="861"/>
      <c r="C76" s="864"/>
      <c r="D76" s="644" t="s">
        <v>915</v>
      </c>
      <c r="E76" s="642" t="s">
        <v>909</v>
      </c>
      <c r="F76" s="642" t="s">
        <v>914</v>
      </c>
      <c r="G76" s="643">
        <f>(1.8*7.8)*2</f>
        <v>28.08</v>
      </c>
      <c r="H76" s="867"/>
      <c r="I76" s="870"/>
      <c r="J76" s="622"/>
      <c r="K76" s="614"/>
      <c r="L76" s="614"/>
      <c r="M76" s="614"/>
      <c r="N76" s="614"/>
      <c r="O76" s="614"/>
      <c r="P76" s="614"/>
      <c r="Q76" s="614"/>
      <c r="R76" s="614"/>
      <c r="S76" s="614"/>
      <c r="T76" s="614"/>
      <c r="U76" s="614"/>
      <c r="V76" s="614"/>
      <c r="W76" s="614"/>
      <c r="X76" s="614"/>
      <c r="Y76" s="614"/>
      <c r="Z76" s="614"/>
    </row>
    <row r="77" spans="1:26" s="617" customFormat="1" ht="46.5" customHeight="1" thickTop="1" thickBot="1">
      <c r="A77" s="614"/>
      <c r="B77" s="859">
        <v>87792</v>
      </c>
      <c r="C77" s="862" t="s">
        <v>916</v>
      </c>
      <c r="D77" s="641" t="s">
        <v>908</v>
      </c>
      <c r="E77" s="645" t="s">
        <v>917</v>
      </c>
      <c r="F77" s="645" t="s">
        <v>918</v>
      </c>
      <c r="G77" s="643">
        <f>(1.8+1.8+7.8+7.8)*0.6</f>
        <v>11.52</v>
      </c>
      <c r="H77" s="865">
        <v>75.936000000000007</v>
      </c>
      <c r="I77" s="868" t="s">
        <v>9</v>
      </c>
      <c r="J77" s="622"/>
      <c r="K77" s="614"/>
      <c r="L77" s="614"/>
      <c r="M77" s="614"/>
      <c r="N77" s="614"/>
      <c r="O77" s="614"/>
      <c r="P77" s="614"/>
      <c r="Q77" s="614"/>
      <c r="R77" s="614"/>
      <c r="S77" s="614"/>
      <c r="T77" s="614"/>
      <c r="U77" s="614"/>
      <c r="V77" s="614"/>
      <c r="W77" s="614"/>
      <c r="X77" s="614"/>
      <c r="Y77" s="614"/>
      <c r="Z77" s="614"/>
    </row>
    <row r="78" spans="1:26" s="617" customFormat="1" ht="84.75" customHeight="1" thickTop="1" thickBot="1">
      <c r="A78" s="614"/>
      <c r="B78" s="860"/>
      <c r="C78" s="863"/>
      <c r="D78" s="644" t="s">
        <v>911</v>
      </c>
      <c r="E78" s="645" t="s">
        <v>917</v>
      </c>
      <c r="F78" s="642" t="s">
        <v>919</v>
      </c>
      <c r="G78" s="643">
        <f>(1.8+1.8+7.8+7.8)*0.6+(1.8+1.8+3.88+3.88)*0.6</f>
        <v>18.335999999999999</v>
      </c>
      <c r="H78" s="866"/>
      <c r="I78" s="869"/>
      <c r="J78" s="622"/>
      <c r="K78" s="614"/>
      <c r="L78" s="614"/>
      <c r="M78" s="614"/>
      <c r="N78" s="614"/>
      <c r="O78" s="614"/>
      <c r="P78" s="614"/>
      <c r="Q78" s="614"/>
      <c r="R78" s="614"/>
      <c r="S78" s="614"/>
      <c r="T78" s="614"/>
      <c r="U78" s="614"/>
      <c r="V78" s="614"/>
      <c r="W78" s="614"/>
      <c r="X78" s="614"/>
      <c r="Y78" s="614"/>
      <c r="Z78" s="614"/>
    </row>
    <row r="79" spans="1:26" s="617" customFormat="1" ht="63" customHeight="1" thickTop="1" thickBot="1">
      <c r="A79" s="614"/>
      <c r="B79" s="860"/>
      <c r="C79" s="863"/>
      <c r="D79" s="644" t="s">
        <v>913</v>
      </c>
      <c r="E79" s="642" t="s">
        <v>920</v>
      </c>
      <c r="F79" s="642" t="s">
        <v>921</v>
      </c>
      <c r="G79" s="643">
        <f>((1.8+1.8+7.8+7.8)*0.6)*2</f>
        <v>23.04</v>
      </c>
      <c r="H79" s="866"/>
      <c r="I79" s="869"/>
      <c r="J79" s="622"/>
      <c r="K79" s="614"/>
      <c r="L79" s="614"/>
      <c r="M79" s="614"/>
      <c r="N79" s="614"/>
      <c r="O79" s="614"/>
      <c r="P79" s="614"/>
      <c r="Q79" s="614"/>
      <c r="R79" s="614"/>
      <c r="S79" s="614"/>
      <c r="T79" s="614"/>
      <c r="U79" s="614"/>
      <c r="V79" s="614"/>
      <c r="W79" s="614"/>
      <c r="X79" s="614"/>
      <c r="Y79" s="614"/>
      <c r="Z79" s="614"/>
    </row>
    <row r="80" spans="1:26" s="617" customFormat="1" ht="74.25" customHeight="1" thickTop="1" thickBot="1">
      <c r="A80" s="614"/>
      <c r="B80" s="861"/>
      <c r="C80" s="864"/>
      <c r="D80" s="644" t="s">
        <v>915</v>
      </c>
      <c r="E80" s="642" t="s">
        <v>920</v>
      </c>
      <c r="F80" s="642" t="s">
        <v>921</v>
      </c>
      <c r="G80" s="643">
        <f>((1.8+1.8+7.8+7.8)*0.6)*2</f>
        <v>23.04</v>
      </c>
      <c r="H80" s="867"/>
      <c r="I80" s="870"/>
      <c r="J80" s="622"/>
      <c r="K80" s="614"/>
      <c r="L80" s="614"/>
      <c r="M80" s="614"/>
      <c r="N80" s="614"/>
      <c r="O80" s="614"/>
      <c r="P80" s="614"/>
      <c r="Q80" s="614"/>
      <c r="R80" s="614"/>
      <c r="S80" s="614"/>
      <c r="T80" s="614"/>
      <c r="U80" s="614"/>
      <c r="V80" s="614"/>
      <c r="W80" s="614"/>
      <c r="X80" s="614"/>
      <c r="Y80" s="614"/>
      <c r="Z80" s="614"/>
    </row>
    <row r="81" spans="1:26" s="617" customFormat="1" ht="46.5" customHeight="1" thickTop="1" thickBot="1">
      <c r="A81" s="614"/>
      <c r="B81" s="859">
        <v>98546</v>
      </c>
      <c r="C81" s="862" t="s">
        <v>922</v>
      </c>
      <c r="D81" s="641" t="s">
        <v>908</v>
      </c>
      <c r="E81" s="645" t="s">
        <v>917</v>
      </c>
      <c r="F81" s="645" t="s">
        <v>923</v>
      </c>
      <c r="G81" s="643">
        <f>1.8*7.8+(1.8+1.8+7.8+7.8)*0.6</f>
        <v>25.56</v>
      </c>
      <c r="H81" s="865">
        <v>167.16</v>
      </c>
      <c r="I81" s="868" t="s">
        <v>9</v>
      </c>
      <c r="J81" s="622"/>
      <c r="K81" s="614"/>
      <c r="L81" s="614"/>
      <c r="M81" s="614"/>
      <c r="N81" s="614"/>
      <c r="O81" s="614"/>
      <c r="P81" s="614"/>
      <c r="Q81" s="614"/>
      <c r="R81" s="614"/>
      <c r="S81" s="614"/>
      <c r="T81" s="614"/>
      <c r="U81" s="614"/>
      <c r="V81" s="614"/>
      <c r="W81" s="614"/>
      <c r="X81" s="614"/>
      <c r="Y81" s="614"/>
      <c r="Z81" s="614"/>
    </row>
    <row r="82" spans="1:26" s="617" customFormat="1" ht="84.75" customHeight="1" thickTop="1" thickBot="1">
      <c r="A82" s="614"/>
      <c r="B82" s="860"/>
      <c r="C82" s="863"/>
      <c r="D82" s="644" t="s">
        <v>911</v>
      </c>
      <c r="E82" s="645" t="s">
        <v>917</v>
      </c>
      <c r="F82" s="642" t="s">
        <v>924</v>
      </c>
      <c r="G82" s="643">
        <f>1.8*7.8+1.8*3.88+(1.8+1.8+7.8+7.8)*0.6+(1.8+1.8+3.88+3.88)*0.6</f>
        <v>39.36</v>
      </c>
      <c r="H82" s="866"/>
      <c r="I82" s="869"/>
      <c r="J82" s="622"/>
      <c r="K82" s="614"/>
      <c r="L82" s="614"/>
      <c r="M82" s="614"/>
      <c r="N82" s="614"/>
      <c r="O82" s="614"/>
      <c r="P82" s="614"/>
      <c r="Q82" s="614"/>
      <c r="R82" s="614"/>
      <c r="S82" s="614"/>
      <c r="T82" s="614"/>
      <c r="U82" s="614"/>
      <c r="V82" s="614"/>
      <c r="W82" s="614"/>
      <c r="X82" s="614"/>
      <c r="Y82" s="614"/>
      <c r="Z82" s="614"/>
    </row>
    <row r="83" spans="1:26" s="617" customFormat="1" ht="63" customHeight="1" thickTop="1" thickBot="1">
      <c r="A83" s="614"/>
      <c r="B83" s="860"/>
      <c r="C83" s="863"/>
      <c r="D83" s="644" t="s">
        <v>913</v>
      </c>
      <c r="E83" s="642" t="s">
        <v>920</v>
      </c>
      <c r="F83" s="642" t="s">
        <v>925</v>
      </c>
      <c r="G83" s="643">
        <f>(1.8*7.8+(1.8+1.8+7.8+7.8)*0.6)*2</f>
        <v>51.12</v>
      </c>
      <c r="H83" s="866"/>
      <c r="I83" s="869"/>
      <c r="J83" s="622"/>
      <c r="K83" s="614"/>
      <c r="L83" s="614"/>
      <c r="M83" s="614"/>
      <c r="N83" s="614"/>
      <c r="O83" s="614"/>
      <c r="P83" s="614"/>
      <c r="Q83" s="614"/>
      <c r="R83" s="614"/>
      <c r="S83" s="614"/>
      <c r="T83" s="614"/>
      <c r="U83" s="614"/>
      <c r="V83" s="614"/>
      <c r="W83" s="614"/>
      <c r="X83" s="614"/>
      <c r="Y83" s="614"/>
      <c r="Z83" s="614"/>
    </row>
    <row r="84" spans="1:26" s="617" customFormat="1" ht="74.25" customHeight="1" thickTop="1" thickBot="1">
      <c r="A84" s="614"/>
      <c r="B84" s="861"/>
      <c r="C84" s="864"/>
      <c r="D84" s="644" t="s">
        <v>915</v>
      </c>
      <c r="E84" s="642" t="s">
        <v>920</v>
      </c>
      <c r="F84" s="642" t="s">
        <v>925</v>
      </c>
      <c r="G84" s="643">
        <f>(1.8*7.8+(1.8+1.8+7.8+7.8)*0.6)*2</f>
        <v>51.12</v>
      </c>
      <c r="H84" s="867"/>
      <c r="I84" s="870"/>
      <c r="J84" s="622"/>
      <c r="K84" s="614"/>
      <c r="L84" s="614"/>
      <c r="M84" s="614"/>
      <c r="N84" s="614"/>
      <c r="O84" s="614"/>
      <c r="P84" s="614"/>
      <c r="Q84" s="614"/>
      <c r="R84" s="614"/>
      <c r="S84" s="614"/>
      <c r="T84" s="614"/>
      <c r="U84" s="614"/>
      <c r="V84" s="614"/>
      <c r="W84" s="614"/>
      <c r="X84" s="614"/>
      <c r="Y84" s="614"/>
      <c r="Z84" s="614"/>
    </row>
    <row r="85" spans="1:26" s="617" customFormat="1" ht="48.75" customHeight="1" thickTop="1" thickBot="1">
      <c r="A85" s="614"/>
      <c r="B85" s="859">
        <v>98565</v>
      </c>
      <c r="C85" s="862" t="s">
        <v>926</v>
      </c>
      <c r="D85" s="641" t="s">
        <v>908</v>
      </c>
      <c r="E85" s="642" t="s">
        <v>909</v>
      </c>
      <c r="F85" s="642" t="s">
        <v>910</v>
      </c>
      <c r="G85" s="643">
        <f>1.8*7.8</f>
        <v>14.04</v>
      </c>
      <c r="H85" s="865">
        <v>91.22399999999999</v>
      </c>
      <c r="I85" s="871"/>
      <c r="J85" s="622"/>
      <c r="K85" s="614"/>
      <c r="L85" s="614"/>
      <c r="M85" s="614"/>
      <c r="N85" s="614"/>
      <c r="O85" s="614"/>
      <c r="P85" s="614"/>
      <c r="Q85" s="614"/>
      <c r="R85" s="614"/>
      <c r="S85" s="614"/>
      <c r="T85" s="614"/>
      <c r="U85" s="614"/>
      <c r="V85" s="614"/>
      <c r="W85" s="614"/>
      <c r="X85" s="614"/>
      <c r="Y85" s="614"/>
      <c r="Z85" s="614"/>
    </row>
    <row r="86" spans="1:26" s="617" customFormat="1" ht="60" customHeight="1" thickTop="1" thickBot="1">
      <c r="A86" s="614"/>
      <c r="B86" s="860"/>
      <c r="C86" s="863"/>
      <c r="D86" s="644" t="s">
        <v>911</v>
      </c>
      <c r="E86" s="642" t="s">
        <v>909</v>
      </c>
      <c r="F86" s="642" t="s">
        <v>912</v>
      </c>
      <c r="G86" s="643">
        <f>1.8*7.8+1.8*3.88</f>
        <v>21.024000000000001</v>
      </c>
      <c r="H86" s="866"/>
      <c r="I86" s="869"/>
      <c r="J86" s="622"/>
      <c r="K86" s="614"/>
      <c r="L86" s="614"/>
      <c r="M86" s="614"/>
      <c r="N86" s="614"/>
      <c r="O86" s="614"/>
      <c r="P86" s="614"/>
      <c r="Q86" s="614"/>
      <c r="R86" s="614"/>
      <c r="S86" s="614"/>
      <c r="T86" s="614"/>
      <c r="U86" s="614"/>
      <c r="V86" s="614"/>
      <c r="W86" s="614"/>
      <c r="X86" s="614"/>
      <c r="Y86" s="614"/>
      <c r="Z86" s="614"/>
    </row>
    <row r="87" spans="1:26" s="617" customFormat="1" ht="62.25" customHeight="1" thickTop="1" thickBot="1">
      <c r="A87" s="614"/>
      <c r="B87" s="860"/>
      <c r="C87" s="863"/>
      <c r="D87" s="644" t="s">
        <v>913</v>
      </c>
      <c r="E87" s="642" t="s">
        <v>909</v>
      </c>
      <c r="F87" s="642" t="s">
        <v>914</v>
      </c>
      <c r="G87" s="643">
        <f>(1.8*7.8)*2</f>
        <v>28.08</v>
      </c>
      <c r="H87" s="866"/>
      <c r="I87" s="869"/>
      <c r="J87" s="622"/>
      <c r="K87" s="614"/>
      <c r="L87" s="614"/>
      <c r="M87" s="614"/>
      <c r="N87" s="614"/>
      <c r="O87" s="614"/>
      <c r="P87" s="614"/>
      <c r="Q87" s="614"/>
      <c r="R87" s="614"/>
      <c r="S87" s="614"/>
      <c r="T87" s="614"/>
      <c r="U87" s="614"/>
      <c r="V87" s="614"/>
      <c r="W87" s="614"/>
      <c r="X87" s="614"/>
      <c r="Y87" s="614"/>
      <c r="Z87" s="614"/>
    </row>
    <row r="88" spans="1:26" s="617" customFormat="1" ht="60.75" customHeight="1" thickTop="1" thickBot="1">
      <c r="A88" s="614"/>
      <c r="B88" s="861"/>
      <c r="C88" s="864"/>
      <c r="D88" s="644" t="s">
        <v>915</v>
      </c>
      <c r="E88" s="642" t="s">
        <v>909</v>
      </c>
      <c r="F88" s="642" t="s">
        <v>914</v>
      </c>
      <c r="G88" s="643">
        <f>(1.8*7.8)*2</f>
        <v>28.08</v>
      </c>
      <c r="H88" s="867"/>
      <c r="I88" s="870"/>
      <c r="J88" s="622"/>
      <c r="K88" s="614"/>
      <c r="L88" s="614"/>
      <c r="M88" s="614"/>
      <c r="N88" s="614"/>
      <c r="O88" s="614"/>
      <c r="P88" s="614"/>
      <c r="Q88" s="614"/>
      <c r="R88" s="614"/>
      <c r="S88" s="614"/>
      <c r="T88" s="614"/>
      <c r="U88" s="614"/>
      <c r="V88" s="614"/>
      <c r="W88" s="614"/>
      <c r="X88" s="614"/>
      <c r="Y88" s="614"/>
      <c r="Z88" s="614"/>
    </row>
    <row r="89" spans="1:26" s="617" customFormat="1" ht="27" customHeight="1" thickTop="1" thickBot="1">
      <c r="A89" s="614"/>
      <c r="B89" s="618"/>
      <c r="C89" s="619"/>
      <c r="D89" s="847"/>
      <c r="E89" s="848"/>
      <c r="F89" s="848"/>
      <c r="G89" s="849"/>
      <c r="H89" s="620"/>
      <c r="I89" s="621"/>
      <c r="J89" s="622"/>
      <c r="K89" s="614"/>
      <c r="L89" s="614"/>
      <c r="M89" s="614"/>
      <c r="N89" s="614"/>
      <c r="O89" s="614"/>
      <c r="P89" s="614"/>
      <c r="Q89" s="614"/>
      <c r="R89" s="614"/>
      <c r="S89" s="614"/>
      <c r="T89" s="614"/>
      <c r="U89" s="614"/>
      <c r="V89" s="614"/>
      <c r="W89" s="614"/>
      <c r="X89" s="614"/>
      <c r="Y89" s="614"/>
      <c r="Z89" s="614"/>
    </row>
    <row r="90" spans="1:26" s="617" customFormat="1" ht="27" customHeight="1" thickTop="1" thickBot="1">
      <c r="A90" s="614"/>
      <c r="B90" s="618"/>
      <c r="C90" s="619"/>
      <c r="D90" s="847"/>
      <c r="E90" s="848"/>
      <c r="F90" s="848"/>
      <c r="G90" s="849"/>
      <c r="H90" s="620"/>
      <c r="I90" s="621"/>
      <c r="J90" s="622"/>
      <c r="K90" s="614"/>
      <c r="L90" s="614"/>
      <c r="M90" s="614"/>
      <c r="N90" s="614"/>
      <c r="O90" s="614"/>
      <c r="P90" s="614"/>
      <c r="Q90" s="614"/>
      <c r="R90" s="614"/>
      <c r="S90" s="614"/>
      <c r="T90" s="614"/>
      <c r="U90" s="614"/>
      <c r="V90" s="614"/>
      <c r="W90" s="614"/>
      <c r="X90" s="614"/>
      <c r="Y90" s="614"/>
      <c r="Z90" s="614"/>
    </row>
    <row r="91" spans="1:26" ht="16.5" thickTop="1" thickBot="1">
      <c r="A91" s="105"/>
      <c r="B91" s="646"/>
      <c r="C91" s="647"/>
      <c r="D91" s="858"/>
      <c r="E91" s="858"/>
      <c r="F91" s="858"/>
      <c r="G91" s="858"/>
      <c r="H91" s="648"/>
      <c r="I91" s="649"/>
      <c r="J91"/>
      <c r="K91" s="4" t="s">
        <v>927</v>
      </c>
    </row>
    <row r="92" spans="1:26">
      <c r="C92" s="650"/>
    </row>
  </sheetData>
  <mergeCells count="78">
    <mergeCell ref="B6:I6"/>
    <mergeCell ref="B1:I1"/>
    <mergeCell ref="B2:I2"/>
    <mergeCell ref="B3:I3"/>
    <mergeCell ref="B4:I4"/>
    <mergeCell ref="B5:I5"/>
    <mergeCell ref="C8:H8"/>
    <mergeCell ref="C9:J9"/>
    <mergeCell ref="C10:J10"/>
    <mergeCell ref="C11:G11"/>
    <mergeCell ref="B15:I15"/>
    <mergeCell ref="D30:G30"/>
    <mergeCell ref="D17:G17"/>
    <mergeCell ref="D18:G18"/>
    <mergeCell ref="D19:G19"/>
    <mergeCell ref="D22:G22"/>
    <mergeCell ref="D23:G23"/>
    <mergeCell ref="D24:G24"/>
    <mergeCell ref="D25:G25"/>
    <mergeCell ref="D27:G27"/>
    <mergeCell ref="D28:G28"/>
    <mergeCell ref="D29:G29"/>
    <mergeCell ref="D31:G31"/>
    <mergeCell ref="D32:G32"/>
    <mergeCell ref="D33:G33"/>
    <mergeCell ref="D34:G34"/>
    <mergeCell ref="D35:G35"/>
    <mergeCell ref="D48:G48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60:G60"/>
    <mergeCell ref="D49:G49"/>
    <mergeCell ref="D50:G50"/>
    <mergeCell ref="D51:G51"/>
    <mergeCell ref="D54:G54"/>
    <mergeCell ref="D55:G55"/>
    <mergeCell ref="D56:G56"/>
    <mergeCell ref="D57:G57"/>
    <mergeCell ref="D58:G58"/>
    <mergeCell ref="D59:G59"/>
    <mergeCell ref="D61:G61"/>
    <mergeCell ref="D62:G62"/>
    <mergeCell ref="D63:G63"/>
    <mergeCell ref="D64:G64"/>
    <mergeCell ref="D65:G65"/>
    <mergeCell ref="D67:G67"/>
    <mergeCell ref="D68:G68"/>
    <mergeCell ref="D69:G69"/>
    <mergeCell ref="D70:G70"/>
    <mergeCell ref="D72:G72"/>
    <mergeCell ref="B73:B76"/>
    <mergeCell ref="C73:C76"/>
    <mergeCell ref="H73:H76"/>
    <mergeCell ref="I73:I76"/>
    <mergeCell ref="B77:B80"/>
    <mergeCell ref="C77:C80"/>
    <mergeCell ref="H77:H80"/>
    <mergeCell ref="I77:I80"/>
    <mergeCell ref="H81:H84"/>
    <mergeCell ref="I81:I84"/>
    <mergeCell ref="B85:B88"/>
    <mergeCell ref="C85:C88"/>
    <mergeCell ref="H85:H88"/>
    <mergeCell ref="I85:I88"/>
    <mergeCell ref="D89:G89"/>
    <mergeCell ref="D90:G90"/>
    <mergeCell ref="D91:G91"/>
    <mergeCell ref="B81:B84"/>
    <mergeCell ref="C81:C8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0" fitToHeight="0" orientation="portrait" r:id="rId1"/>
  <rowBreaks count="1" manualBreakCount="1">
    <brk id="65" min="1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177D-15B4-434D-A202-8D62EE876DCA}">
  <dimension ref="F10:S29"/>
  <sheetViews>
    <sheetView workbookViewId="0">
      <selection activeCell="P21" sqref="P21"/>
    </sheetView>
  </sheetViews>
  <sheetFormatPr defaultRowHeight="15"/>
  <sheetData>
    <row r="10" spans="6:18">
      <c r="H10" t="s">
        <v>715</v>
      </c>
      <c r="O10" t="s">
        <v>717</v>
      </c>
    </row>
    <row r="11" spans="6:18">
      <c r="F11" s="882" t="s">
        <v>716</v>
      </c>
      <c r="G11" s="460">
        <v>2</v>
      </c>
      <c r="H11">
        <v>1.8</v>
      </c>
      <c r="I11">
        <v>0.9</v>
      </c>
      <c r="J11" s="383">
        <f>H11*I11*G11</f>
        <v>3.24</v>
      </c>
      <c r="N11" s="883" t="s">
        <v>718</v>
      </c>
      <c r="O11" s="464">
        <v>6</v>
      </c>
      <c r="P11" s="464">
        <v>1.8</v>
      </c>
      <c r="Q11" s="464">
        <v>1.1000000000000001</v>
      </c>
      <c r="R11" s="465">
        <f t="shared" ref="R11:R25" si="0">O11*P11*Q11</f>
        <v>11.880000000000003</v>
      </c>
    </row>
    <row r="12" spans="6:18">
      <c r="F12" s="882"/>
      <c r="G12" s="460">
        <v>2</v>
      </c>
      <c r="H12">
        <v>1.8</v>
      </c>
      <c r="I12">
        <v>0.9</v>
      </c>
      <c r="J12" s="383">
        <f>H12*I12*G12</f>
        <v>3.24</v>
      </c>
      <c r="N12" s="883"/>
      <c r="O12" s="464">
        <v>6</v>
      </c>
      <c r="P12" s="466">
        <v>1.8</v>
      </c>
      <c r="Q12" s="464">
        <v>0.26</v>
      </c>
      <c r="R12" s="465">
        <f t="shared" si="0"/>
        <v>2.8080000000000003</v>
      </c>
    </row>
    <row r="13" spans="6:18">
      <c r="H13" s="459"/>
      <c r="I13" s="459"/>
      <c r="J13" s="461">
        <f>SUM(J11:J12)</f>
        <v>6.48</v>
      </c>
      <c r="N13" s="883"/>
      <c r="O13" s="464">
        <v>4</v>
      </c>
      <c r="P13" s="464">
        <v>1.8</v>
      </c>
      <c r="Q13" s="464">
        <v>0.11</v>
      </c>
      <c r="R13" s="465">
        <f t="shared" si="0"/>
        <v>0.79200000000000004</v>
      </c>
    </row>
    <row r="14" spans="6:18">
      <c r="H14" s="459"/>
      <c r="I14" s="459"/>
      <c r="J14" s="461"/>
      <c r="N14" s="884" t="s">
        <v>719</v>
      </c>
      <c r="O14" s="463">
        <v>3</v>
      </c>
      <c r="P14" s="463">
        <v>1.8</v>
      </c>
      <c r="Q14" s="463">
        <v>1.3</v>
      </c>
      <c r="R14" s="467">
        <f t="shared" si="0"/>
        <v>7.0200000000000005</v>
      </c>
    </row>
    <row r="15" spans="6:18">
      <c r="H15" s="459"/>
      <c r="I15" s="459"/>
      <c r="J15" s="461"/>
      <c r="N15" s="884"/>
      <c r="O15" s="464">
        <v>3</v>
      </c>
      <c r="P15" s="464">
        <v>1.8</v>
      </c>
      <c r="Q15" s="464">
        <v>0.3</v>
      </c>
      <c r="R15" s="465">
        <f t="shared" si="0"/>
        <v>1.62</v>
      </c>
    </row>
    <row r="16" spans="6:18">
      <c r="H16" s="459"/>
      <c r="I16" s="459"/>
      <c r="J16" s="461"/>
      <c r="N16" s="884"/>
      <c r="O16" s="464">
        <v>2</v>
      </c>
      <c r="P16" s="464">
        <v>1.8</v>
      </c>
      <c r="Q16" s="464">
        <v>0.15</v>
      </c>
      <c r="R16" s="465">
        <f t="shared" si="0"/>
        <v>0.54</v>
      </c>
    </row>
    <row r="17" spans="8:19">
      <c r="H17" s="459"/>
      <c r="I17" s="459"/>
      <c r="J17" s="461"/>
      <c r="N17" s="884"/>
      <c r="O17" s="472">
        <v>1</v>
      </c>
      <c r="P17" s="472">
        <v>1.8</v>
      </c>
      <c r="Q17" s="472">
        <v>0.17</v>
      </c>
      <c r="R17" s="471">
        <f t="shared" si="0"/>
        <v>0.30600000000000005</v>
      </c>
    </row>
    <row r="18" spans="8:19">
      <c r="H18" s="459"/>
      <c r="I18" s="459"/>
      <c r="J18" s="461"/>
      <c r="N18" s="884"/>
      <c r="O18" s="472">
        <v>2</v>
      </c>
      <c r="P18" s="472">
        <v>1.8</v>
      </c>
      <c r="Q18" s="472">
        <v>0.1</v>
      </c>
      <c r="R18" s="471">
        <f t="shared" si="0"/>
        <v>0.36000000000000004</v>
      </c>
    </row>
    <row r="19" spans="8:19">
      <c r="J19" s="383"/>
      <c r="N19" s="884"/>
      <c r="O19" s="472">
        <v>3</v>
      </c>
      <c r="P19" s="472">
        <v>1.2</v>
      </c>
      <c r="Q19" s="472">
        <v>0.5</v>
      </c>
      <c r="R19" s="471">
        <f t="shared" si="0"/>
        <v>1.7999999999999998</v>
      </c>
      <c r="S19" t="s">
        <v>720</v>
      </c>
    </row>
    <row r="20" spans="8:19">
      <c r="J20" s="383"/>
      <c r="N20" s="884" t="s">
        <v>721</v>
      </c>
      <c r="O20" s="470">
        <v>3</v>
      </c>
      <c r="P20" s="470">
        <v>1.8</v>
      </c>
      <c r="Q20" s="470">
        <v>1.3</v>
      </c>
      <c r="R20" s="469">
        <f t="shared" si="0"/>
        <v>7.0200000000000005</v>
      </c>
    </row>
    <row r="21" spans="8:19">
      <c r="J21" s="383"/>
      <c r="N21" s="884"/>
      <c r="O21" s="470">
        <v>3</v>
      </c>
      <c r="P21" s="470">
        <v>1.8</v>
      </c>
      <c r="Q21" s="470">
        <v>0.15</v>
      </c>
      <c r="R21" s="469">
        <f t="shared" si="0"/>
        <v>0.81</v>
      </c>
    </row>
    <row r="22" spans="8:19">
      <c r="J22" s="383"/>
      <c r="N22" s="884"/>
      <c r="O22" s="470">
        <v>3</v>
      </c>
      <c r="P22" s="470">
        <v>1.8</v>
      </c>
      <c r="Q22" s="470">
        <v>0.06</v>
      </c>
      <c r="R22" s="469">
        <f t="shared" si="0"/>
        <v>0.32400000000000001</v>
      </c>
    </row>
    <row r="23" spans="8:19">
      <c r="J23" s="383"/>
      <c r="N23" s="884"/>
      <c r="O23" s="463">
        <v>1</v>
      </c>
      <c r="P23" s="463">
        <v>1.8</v>
      </c>
      <c r="Q23" s="463">
        <v>0.16</v>
      </c>
      <c r="R23" s="467">
        <f t="shared" si="0"/>
        <v>0.28800000000000003</v>
      </c>
    </row>
    <row r="24" spans="8:19">
      <c r="J24" s="383"/>
      <c r="N24" s="884"/>
      <c r="O24" s="463">
        <v>2</v>
      </c>
      <c r="P24" s="463">
        <v>1.8</v>
      </c>
      <c r="Q24" s="463">
        <v>0.06</v>
      </c>
      <c r="R24" s="467">
        <f t="shared" si="0"/>
        <v>0.216</v>
      </c>
    </row>
    <row r="25" spans="8:19">
      <c r="N25" s="884"/>
      <c r="O25" s="463">
        <v>3</v>
      </c>
      <c r="P25" s="463">
        <v>1.2</v>
      </c>
      <c r="Q25" s="463">
        <v>0.5</v>
      </c>
      <c r="R25" s="467">
        <f t="shared" si="0"/>
        <v>1.7999999999999998</v>
      </c>
      <c r="S25" t="s">
        <v>720</v>
      </c>
    </row>
    <row r="26" spans="8:19">
      <c r="R26" s="462">
        <f>SUM(R11:R25)</f>
        <v>37.584000000000003</v>
      </c>
    </row>
    <row r="27" spans="8:19">
      <c r="R27" s="383"/>
    </row>
    <row r="28" spans="8:19" ht="18.75">
      <c r="P28" s="384"/>
      <c r="R28" s="383"/>
    </row>
    <row r="29" spans="8:19">
      <c r="R29" s="385">
        <f>R26-3.6</f>
        <v>33.984000000000002</v>
      </c>
    </row>
  </sheetData>
  <mergeCells count="4">
    <mergeCell ref="F11:F12"/>
    <mergeCell ref="N11:N13"/>
    <mergeCell ref="N14:N19"/>
    <mergeCell ref="N20:N25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5:G8"/>
  <sheetViews>
    <sheetView workbookViewId="0">
      <selection activeCell="C17" sqref="C17"/>
    </sheetView>
  </sheetViews>
  <sheetFormatPr defaultRowHeight="15"/>
  <cols>
    <col min="3" max="3" width="46.140625" customWidth="1"/>
    <col min="4" max="4" width="51" customWidth="1"/>
    <col min="5" max="5" width="21" customWidth="1"/>
    <col min="6" max="6" width="14.28515625" customWidth="1"/>
  </cols>
  <sheetData>
    <row r="5" spans="3:7" ht="51" customHeight="1">
      <c r="C5" s="108" t="s">
        <v>107</v>
      </c>
      <c r="D5" s="109" t="s">
        <v>108</v>
      </c>
      <c r="E5" s="108" t="s">
        <v>106</v>
      </c>
      <c r="F5" s="110" t="s">
        <v>105</v>
      </c>
      <c r="G5" s="110" t="s">
        <v>1</v>
      </c>
    </row>
    <row r="6" spans="3:7" ht="39.75" customHeight="1">
      <c r="C6" s="108">
        <v>88309</v>
      </c>
      <c r="D6" s="109" t="s">
        <v>18</v>
      </c>
      <c r="E6" s="108" t="s">
        <v>15</v>
      </c>
      <c r="F6" s="110">
        <v>1.23</v>
      </c>
      <c r="G6" s="107"/>
    </row>
    <row r="7" spans="3:7">
      <c r="C7" s="108">
        <v>88316</v>
      </c>
      <c r="D7" s="109" t="s">
        <v>17</v>
      </c>
      <c r="E7" s="108" t="s">
        <v>15</v>
      </c>
      <c r="F7" s="110">
        <v>1.476</v>
      </c>
      <c r="G7" s="107"/>
    </row>
    <row r="8" spans="3:7" ht="44.25" customHeight="1">
      <c r="C8" s="108">
        <v>94971</v>
      </c>
      <c r="D8" s="109" t="s">
        <v>110</v>
      </c>
      <c r="E8" s="108" t="s">
        <v>8</v>
      </c>
      <c r="F8" s="110">
        <v>8.5999999999999993E-2</v>
      </c>
      <c r="G8" s="107"/>
    </row>
  </sheetData>
  <conditionalFormatting sqref="E8 F6:F8 C6:C7 G5:G8 D6:D8">
    <cfRule type="expression" dxfId="13" priority="19" stopIfTrue="1">
      <formula>AND($A5&lt;&gt;"COMPOSICAO",$A5&lt;&gt;"INSUMO",$A5&lt;&gt;"")</formula>
    </cfRule>
    <cfRule type="expression" dxfId="12" priority="20" stopIfTrue="1">
      <formula>AND(OR($A5="COMPOSICAO",$A5="INSUMO",$A5&lt;&gt;""),$A5&lt;&gt;"")</formula>
    </cfRule>
  </conditionalFormatting>
  <conditionalFormatting sqref="F5">
    <cfRule type="expression" dxfId="11" priority="39" stopIfTrue="1">
      <formula>AND($A5&lt;&gt;"COMPOSICAO",$A5&lt;&gt;"INSUMO",$A5&lt;&gt;"")</formula>
    </cfRule>
    <cfRule type="expression" dxfId="10" priority="40" stopIfTrue="1">
      <formula>AND(OR($A5="COMPOSICAO",$A5="INSUMO",$A5&lt;&gt;""),$A5&lt;&gt;"")</formula>
    </cfRule>
  </conditionalFormatting>
  <conditionalFormatting sqref="E6:E7">
    <cfRule type="expression" dxfId="9" priority="37" stopIfTrue="1">
      <formula>AND($A6&lt;&gt;"COMPOSICAO",$A6&lt;&gt;"INSUMO",$A6&lt;&gt;"")</formula>
    </cfRule>
    <cfRule type="expression" dxfId="8" priority="38" stopIfTrue="1">
      <formula>AND(OR($A6="COMPOSICAO",$A6="INSUMO",$A6&lt;&gt;""),$A6&lt;&gt;"")</formula>
    </cfRule>
  </conditionalFormatting>
  <conditionalFormatting sqref="E5">
    <cfRule type="expression" dxfId="7" priority="35" stopIfTrue="1">
      <formula>AND($A5&lt;&gt;"COMPOSICAO",$A5&lt;&gt;"INSUMO",$A5&lt;&gt;"")</formula>
    </cfRule>
    <cfRule type="expression" dxfId="6" priority="36" stopIfTrue="1">
      <formula>AND(OR($A5="COMPOSICAO",$A5="INSUMO",$A5&lt;&gt;""),$A5&lt;&gt;"")</formula>
    </cfRule>
  </conditionalFormatting>
  <conditionalFormatting sqref="C5">
    <cfRule type="expression" dxfId="5" priority="27" stopIfTrue="1">
      <formula>AND($A5&lt;&gt;"COMPOSICAO",$A5&lt;&gt;"INSUMO",$A5&lt;&gt;"")</formula>
    </cfRule>
    <cfRule type="expression" dxfId="4" priority="28" stopIfTrue="1">
      <formula>AND(OR($A5="COMPOSICAO",$A5="INSUMO",$A5&lt;&gt;""),$A5&lt;&gt;"")</formula>
    </cfRule>
  </conditionalFormatting>
  <conditionalFormatting sqref="D5">
    <cfRule type="expression" dxfId="3" priority="17" stopIfTrue="1">
      <formula>AND($A5&lt;&gt;"COMPOSICAO",$A5&lt;&gt;"INSUMO",$A5&lt;&gt;"")</formula>
    </cfRule>
    <cfRule type="expression" dxfId="2" priority="18" stopIfTrue="1">
      <formula>AND(OR($A5="COMPOSICAO",$A5="INSUMO",$A5&lt;&gt;""),$A5&lt;&gt;"")</formula>
    </cfRule>
  </conditionalFormatting>
  <conditionalFormatting sqref="C8">
    <cfRule type="expression" dxfId="1" priority="15" stopIfTrue="1">
      <formula>AND($A8&lt;&gt;"COMPOSICAO",$A8&lt;&gt;"INSUMO",$A8&lt;&gt;"")</formula>
    </cfRule>
    <cfRule type="expression" dxfId="0" priority="16" stopIfTrue="1">
      <formula>AND(OR($A8="COMPOSICAO",$A8="INSUMO",$A8&lt;&gt;""),$A8&lt;&gt;"")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fff33c-ea10-4d21-89ed-1d5228e459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9C36AA8A13D4696D8D661A22175F9" ma:contentTypeVersion="18" ma:contentTypeDescription="Create a new document." ma:contentTypeScope="" ma:versionID="efc00cf491a239948f0108bf8f1ead2e">
  <xsd:schema xmlns:xsd="http://www.w3.org/2001/XMLSchema" xmlns:xs="http://www.w3.org/2001/XMLSchema" xmlns:p="http://schemas.microsoft.com/office/2006/metadata/properties" xmlns:ns3="5ea28c26-d95d-407e-93ce-086b7e64b9ea" xmlns:ns4="f7fff33c-ea10-4d21-89ed-1d5228e4597c" targetNamespace="http://schemas.microsoft.com/office/2006/metadata/properties" ma:root="true" ma:fieldsID="aef0fcdd2428bd90a102614b3ea7d332" ns3:_="" ns4:_="">
    <xsd:import namespace="5ea28c26-d95d-407e-93ce-086b7e64b9ea"/>
    <xsd:import namespace="f7fff33c-ea10-4d21-89ed-1d5228e459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_activity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28c26-d95d-407e-93ce-086b7e64b9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f33c-ea10-4d21-89ed-1d5228e459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E8F83D-9060-42E4-8056-AA5DA6372BD4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f7fff33c-ea10-4d21-89ed-1d5228e4597c"/>
    <ds:schemaRef ds:uri="http://purl.org/dc/elements/1.1/"/>
    <ds:schemaRef ds:uri="5ea28c26-d95d-407e-93ce-086b7e64b9e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EA32AD-5D46-4977-818D-440A2DDA44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A6C246-F9ED-4B7D-B353-8FFC3A02B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28c26-d95d-407e-93ce-086b7e64b9ea"/>
    <ds:schemaRef ds:uri="f7fff33c-ea10-4d21-89ed-1d5228e459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15</vt:i4>
      </vt:variant>
    </vt:vector>
  </HeadingPairs>
  <TitlesOfParts>
    <vt:vector size="28" baseType="lpstr">
      <vt:lpstr>002.Orçamento Analítico</vt:lpstr>
      <vt:lpstr>004. Cronograma Físico-Financ.</vt:lpstr>
      <vt:lpstr>003. Composições Unit. novas</vt:lpstr>
      <vt:lpstr>MEMÓRIA</vt:lpstr>
      <vt:lpstr>RESUMO.REVEST</vt:lpstr>
      <vt:lpstr>RESUMO.ALV.</vt:lpstr>
      <vt:lpstr>RESUMO.ESTR.</vt:lpstr>
      <vt:lpstr>Planilha1</vt:lpstr>
      <vt:lpstr>CPU </vt:lpstr>
      <vt:lpstr>ANEXO 1</vt:lpstr>
      <vt:lpstr>ANEXO 3.</vt:lpstr>
      <vt:lpstr>ANEXO 4</vt:lpstr>
      <vt:lpstr>Composições Novas</vt:lpstr>
      <vt:lpstr>'002.Orçamento Analítico'!Area_de_impressao</vt:lpstr>
      <vt:lpstr>'003. Composições Unit. novas'!Area_de_impressao</vt:lpstr>
      <vt:lpstr>'004. Cronograma Físico-Financ.'!Area_de_impressao</vt:lpstr>
      <vt:lpstr>'ANEXO 1'!Area_de_impressao</vt:lpstr>
      <vt:lpstr>'ANEXO 3.'!Area_de_impressao</vt:lpstr>
      <vt:lpstr>'ANEXO 4'!Area_de_impressao</vt:lpstr>
      <vt:lpstr>MEMÓRIA!Area_de_impressao</vt:lpstr>
      <vt:lpstr>RESUMO.ALV.!Area_de_impressao</vt:lpstr>
      <vt:lpstr>RESUMO.ESTR.!Area_de_impressao</vt:lpstr>
      <vt:lpstr>RESUMO.REVEST!Area_de_impressao</vt:lpstr>
      <vt:lpstr>'002.Orçamento Analítico'!Titulos_de_impressao</vt:lpstr>
      <vt:lpstr>'003. Composições Unit. novas'!Titulos_de_impressao</vt:lpstr>
      <vt:lpstr>'004. Cronograma Físico-Financ.'!Titulos_de_impressao</vt:lpstr>
      <vt:lpstr>MEMÓRIA!Titulos_de_impressao</vt:lpstr>
      <vt:lpstr>RESUMO.ESTR.!Titulos_de_impressao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Adonias de Sa Portela</dc:creator>
  <cp:lastModifiedBy>Gabriel Silveira Alencar</cp:lastModifiedBy>
  <cp:lastPrinted>2024-12-17T22:03:04Z</cp:lastPrinted>
  <dcterms:created xsi:type="dcterms:W3CDTF">2015-03-13T17:56:02Z</dcterms:created>
  <dcterms:modified xsi:type="dcterms:W3CDTF">2025-01-30T20:07:22Z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0x0101006219C36AA8A13D4696D8D661A22175F9</vt:lpwstr>
  </property>
</Properties>
</file>