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https://ifam2-my.sharepoint.com/personal/21927782_ifam2_onmicrosoft_com/Documents/IFAM/PROJETO BASICO/CAMPUS MANICORÉ/MEMORIAS DE CALCULO/MEMORIAS ANEXO E GERAL/"/>
    </mc:Choice>
  </mc:AlternateContent>
  <xr:revisionPtr revIDLastSave="0" documentId="8_{7B0FD701-069F-4B2B-A959-436AC9016BD0}" xr6:coauthVersionLast="36" xr6:coauthVersionMax="36" xr10:uidLastSave="{00000000-0000-0000-0000-000000000000}"/>
  <bookViews>
    <workbookView xWindow="0" yWindow="0" windowWidth="23040" windowHeight="8940" firstSheet="2" activeTab="2" xr2:uid="{00000000-000D-0000-FFFF-FFFF00000000}"/>
  </bookViews>
  <sheets>
    <sheet name="004. Cronograma Físico-Financ." sheetId="2" state="hidden" r:id="rId1"/>
    <sheet name="003. Composições Unit. novas" sheetId="3" state="hidden" r:id="rId2"/>
    <sheet name="MEMÓRIA" sheetId="4" r:id="rId3"/>
    <sheet name="CPU " sheetId="5" state="hidden" r:id="rId4"/>
    <sheet name="ANEXO 1" sheetId="6" state="hidden" r:id="rId5"/>
    <sheet name="ANEXO 3." sheetId="7" state="hidden" r:id="rId6"/>
    <sheet name="ANEXO 4" sheetId="8" state="hidden" r:id="rId7"/>
    <sheet name="Composições Novas" sheetId="9" state="hidden" r:id="rId8"/>
  </sheets>
  <externalReferences>
    <externalReference r:id="rId9"/>
  </externalReferences>
  <definedNames>
    <definedName name="_xlnm.Print_Area" localSheetId="2">MEMÓRIA!$B$1:$I$331</definedName>
  </definedNames>
  <calcPr calcId="191029"/>
</workbook>
</file>

<file path=xl/calcChain.xml><?xml version="1.0" encoding="utf-8"?>
<calcChain xmlns="http://schemas.openxmlformats.org/spreadsheetml/2006/main">
  <c r="H300" i="4" l="1"/>
  <c r="G274" i="4"/>
  <c r="F299" i="4" l="1"/>
  <c r="F298" i="4"/>
  <c r="F296" i="4"/>
  <c r="G295" i="4"/>
  <c r="F294" i="4"/>
  <c r="G294" i="4" s="1"/>
  <c r="F293" i="4"/>
  <c r="F291" i="4"/>
  <c r="F290" i="4"/>
  <c r="F288" i="4"/>
  <c r="G288" i="4" s="1"/>
  <c r="F287" i="4"/>
  <c r="G287" i="4" s="1"/>
  <c r="F286" i="4"/>
  <c r="F284" i="4"/>
  <c r="F283" i="4"/>
  <c r="F282" i="4"/>
  <c r="G267" i="4"/>
  <c r="F227" i="4"/>
  <c r="F228" i="4" s="1"/>
  <c r="F231" i="4"/>
  <c r="G231" i="4" s="1"/>
  <c r="H231" i="4" s="1"/>
  <c r="F222" i="4"/>
  <c r="G280" i="4" l="1"/>
  <c r="G289" i="4"/>
  <c r="H267" i="4" s="1"/>
  <c r="F223" i="4" l="1"/>
  <c r="F225" i="4"/>
  <c r="F226" i="4" l="1"/>
  <c r="G226" i="4" s="1"/>
  <c r="H226" i="4" s="1"/>
  <c r="G227" i="4"/>
  <c r="H227" i="4" s="1"/>
  <c r="F224" i="4"/>
  <c r="G224" i="4" s="1"/>
  <c r="H224" i="4" s="1"/>
  <c r="F229" i="4"/>
  <c r="G229" i="4" s="1"/>
  <c r="H229" i="4" s="1"/>
  <c r="G225" i="4"/>
  <c r="H225" i="4" s="1"/>
  <c r="G223" i="4"/>
  <c r="H223" i="4" s="1"/>
  <c r="G222" i="4"/>
  <c r="H222" i="4" s="1"/>
  <c r="G228" i="4" l="1"/>
  <c r="H228" i="4" s="1"/>
  <c r="F230" i="4"/>
  <c r="G230" i="4" s="1"/>
  <c r="H230" i="4" s="1"/>
  <c r="E261" i="4" l="1"/>
  <c r="E260" i="4"/>
  <c r="G244" i="4"/>
  <c r="H244" i="4" s="1"/>
  <c r="E254" i="4" l="1"/>
  <c r="E233" i="4"/>
  <c r="E259" i="4" l="1"/>
  <c r="E258" i="4"/>
  <c r="G258" i="4" l="1"/>
  <c r="H258" i="4" s="1"/>
  <c r="G172" i="4"/>
  <c r="G162" i="4"/>
  <c r="G160" i="4"/>
  <c r="G158" i="4"/>
  <c r="G143" i="4"/>
  <c r="G139" i="4"/>
  <c r="G149" i="4"/>
  <c r="G147" i="4"/>
  <c r="F138" i="4"/>
  <c r="G135" i="4" s="1"/>
  <c r="G151" i="4"/>
  <c r="H151" i="4" s="1"/>
  <c r="E257" i="4"/>
  <c r="E256" i="4"/>
  <c r="E255" i="4"/>
  <c r="H135" i="4" l="1"/>
  <c r="G254" i="4"/>
  <c r="H254" i="4" s="1"/>
  <c r="F250" i="4"/>
  <c r="F246" i="4"/>
  <c r="F245" i="4"/>
  <c r="G243" i="4"/>
  <c r="H243" i="4" s="1"/>
  <c r="H238" i="4"/>
  <c r="E235" i="4"/>
  <c r="E234" i="4"/>
  <c r="F210" i="4"/>
  <c r="F205" i="4"/>
  <c r="F200" i="4"/>
  <c r="F196" i="4"/>
  <c r="F193" i="4"/>
  <c r="F186" i="4"/>
  <c r="G245" i="4" l="1"/>
  <c r="H245" i="4" s="1"/>
  <c r="G233" i="4"/>
  <c r="H233" i="4" s="1"/>
  <c r="G171" i="4"/>
  <c r="G173" i="4"/>
  <c r="G165" i="4"/>
  <c r="L171" i="4"/>
  <c r="G170" i="4"/>
  <c r="G168" i="4"/>
  <c r="G167" i="4"/>
  <c r="G164" i="4"/>
  <c r="F105" i="4"/>
  <c r="G105" i="4" s="1"/>
  <c r="F77" i="4"/>
  <c r="G77" i="4" s="1"/>
  <c r="M75" i="4"/>
  <c r="G67" i="4"/>
  <c r="G56" i="4"/>
  <c r="G42" i="4"/>
  <c r="G63" i="4"/>
  <c r="F41" i="4"/>
  <c r="G32" i="4" s="1"/>
  <c r="G54" i="4"/>
  <c r="G49" i="4"/>
  <c r="Q54" i="4"/>
  <c r="F31" i="4"/>
  <c r="H164" i="4" l="1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G310" i="4" s="1"/>
  <c r="F306" i="4"/>
  <c r="F305" i="4"/>
  <c r="G329" i="4"/>
  <c r="H328" i="4" s="1"/>
  <c r="F304" i="4"/>
  <c r="G304" i="4" s="1"/>
  <c r="G317" i="4" l="1"/>
  <c r="G305" i="4"/>
  <c r="G315" i="4"/>
  <c r="G320" i="4"/>
  <c r="G311" i="4"/>
  <c r="G324" i="4"/>
  <c r="F303" i="4"/>
  <c r="H305" i="4" l="1"/>
  <c r="F300" i="4"/>
  <c r="G300" i="4" s="1"/>
  <c r="F221" i="4"/>
  <c r="F211" i="4"/>
  <c r="F212" i="4"/>
  <c r="G211" i="4"/>
  <c r="F220" i="4"/>
  <c r="F219" i="4"/>
  <c r="F218" i="4"/>
  <c r="F215" i="4"/>
  <c r="F217" i="4"/>
  <c r="F214" i="4"/>
  <c r="F213" i="4"/>
  <c r="F203" i="4"/>
  <c r="F206" i="4"/>
  <c r="F204" i="4"/>
  <c r="F202" i="4"/>
  <c r="F209" i="4"/>
  <c r="F208" i="4"/>
  <c r="F207" i="4"/>
  <c r="F201" i="4"/>
  <c r="F199" i="4"/>
  <c r="F198" i="4"/>
  <c r="F195" i="4"/>
  <c r="F194" i="4"/>
  <c r="F192" i="4"/>
  <c r="F191" i="4"/>
  <c r="F190" i="4"/>
  <c r="F189" i="4"/>
  <c r="F187" i="4"/>
  <c r="F185" i="4"/>
  <c r="F184" i="4"/>
  <c r="F183" i="4"/>
  <c r="F182" i="4"/>
  <c r="F181" i="4"/>
  <c r="F180" i="4"/>
  <c r="F197" i="4"/>
  <c r="F174" i="4"/>
  <c r="F188" i="4"/>
  <c r="F176" i="4"/>
  <c r="F177" i="4"/>
  <c r="F178" i="4"/>
  <c r="F179" i="4"/>
  <c r="G194" i="4" l="1"/>
  <c r="G197" i="4"/>
  <c r="G189" i="4"/>
  <c r="G180" i="4"/>
  <c r="G201" i="4"/>
  <c r="G206" i="4"/>
  <c r="G187" i="4"/>
  <c r="G213" i="4"/>
  <c r="H213" i="4" s="1"/>
  <c r="F175" i="4"/>
  <c r="H180" i="4" l="1"/>
  <c r="G178" i="4"/>
  <c r="G175" i="4"/>
  <c r="G174" i="4"/>
  <c r="H174" i="4" l="1"/>
  <c r="G131" i="4" l="1"/>
  <c r="G127" i="4"/>
  <c r="G120" i="4"/>
  <c r="F119" i="4"/>
  <c r="G110" i="4" s="1"/>
  <c r="F109" i="4"/>
  <c r="G106" i="4" s="1"/>
  <c r="F157" i="4"/>
  <c r="G152" i="4" s="1"/>
  <c r="H152" i="4" s="1"/>
  <c r="G99" i="4"/>
  <c r="G95" i="4"/>
  <c r="G92" i="4"/>
  <c r="G90" i="4"/>
  <c r="G86" i="4"/>
  <c r="F84" i="4"/>
  <c r="G78" i="4" s="1"/>
  <c r="G50" i="4" l="1"/>
  <c r="F27" i="4" l="1"/>
  <c r="G21" i="4" s="1"/>
  <c r="H241" i="4" l="1"/>
  <c r="H237" i="4" l="1"/>
  <c r="H21" i="4" l="1"/>
  <c r="H106" i="4" l="1"/>
  <c r="H78" i="4"/>
  <c r="P32" i="9"/>
  <c r="L32" i="9"/>
  <c r="M32" i="9"/>
  <c r="H189" i="3"/>
  <c r="H192" i="3"/>
  <c r="H197" i="3" s="1"/>
  <c r="H199" i="3" s="1"/>
  <c r="H186" i="3"/>
  <c r="H174" i="3"/>
  <c r="H173" i="3"/>
  <c r="H177" i="3" s="1"/>
  <c r="H182" i="3" s="1"/>
  <c r="H184" i="3" s="1"/>
  <c r="O172" i="3"/>
  <c r="H172" i="3"/>
  <c r="H171" i="3"/>
  <c r="H170" i="3"/>
  <c r="F156" i="3"/>
  <c r="H156" i="3"/>
  <c r="H159" i="3"/>
  <c r="H164" i="3" s="1"/>
  <c r="H166" i="3" s="1"/>
  <c r="F142" i="3"/>
  <c r="H142" i="3"/>
  <c r="F141" i="3"/>
  <c r="H141" i="3"/>
  <c r="H122" i="3"/>
  <c r="F123" i="3"/>
  <c r="H123" i="3"/>
  <c r="H124" i="3"/>
  <c r="H125" i="3"/>
  <c r="H126" i="3"/>
  <c r="H127" i="3"/>
  <c r="H130" i="3"/>
  <c r="H135" i="3" s="1"/>
  <c r="H137" i="3" s="1"/>
  <c r="F109" i="3"/>
  <c r="H109" i="3"/>
  <c r="F108" i="3"/>
  <c r="H108" i="3" s="1"/>
  <c r="F107" i="3"/>
  <c r="H107" i="3" s="1"/>
  <c r="H106" i="3"/>
  <c r="F105" i="3"/>
  <c r="H105" i="3" s="1"/>
  <c r="F104" i="3"/>
  <c r="H104" i="3" s="1"/>
  <c r="F103" i="3"/>
  <c r="H103" i="3" s="1"/>
  <c r="H102" i="3"/>
  <c r="H101" i="3"/>
  <c r="F100" i="3"/>
  <c r="H100" i="3"/>
  <c r="F99" i="3"/>
  <c r="H99" i="3"/>
  <c r="F98" i="3"/>
  <c r="H98" i="3" s="1"/>
  <c r="F85" i="3"/>
  <c r="H85" i="3" s="1"/>
  <c r="F84" i="3"/>
  <c r="H84" i="3" s="1"/>
  <c r="F83" i="3"/>
  <c r="H83" i="3"/>
  <c r="H82" i="3"/>
  <c r="F81" i="3"/>
  <c r="H81" i="3" s="1"/>
  <c r="F80" i="3"/>
  <c r="H80" i="3"/>
  <c r="F79" i="3"/>
  <c r="H79" i="3"/>
  <c r="H78" i="3"/>
  <c r="F77" i="3"/>
  <c r="H77" i="3" s="1"/>
  <c r="F76" i="3"/>
  <c r="H76" i="3"/>
  <c r="F75" i="3"/>
  <c r="H75" i="3"/>
  <c r="F74" i="3"/>
  <c r="H74" i="3"/>
  <c r="F73" i="3"/>
  <c r="H73" i="3" s="1"/>
  <c r="H88" i="3" s="1"/>
  <c r="H93" i="3" s="1"/>
  <c r="H95" i="3" s="1"/>
  <c r="F61" i="3"/>
  <c r="H61" i="3" s="1"/>
  <c r="H60" i="3"/>
  <c r="H59" i="3"/>
  <c r="H58" i="3"/>
  <c r="H57" i="3"/>
  <c r="H56" i="3"/>
  <c r="F55" i="3"/>
  <c r="H55" i="3" s="1"/>
  <c r="H64" i="3" s="1"/>
  <c r="H69" i="3" s="1"/>
  <c r="H71" i="3" s="1"/>
  <c r="F54" i="3"/>
  <c r="H54" i="3"/>
  <c r="H53" i="3"/>
  <c r="H40" i="3"/>
  <c r="H43" i="3" s="1"/>
  <c r="H48" i="3" s="1"/>
  <c r="H50" i="3" s="1"/>
  <c r="H39" i="3"/>
  <c r="H38" i="3"/>
  <c r="H37" i="3"/>
  <c r="H36" i="3"/>
  <c r="H35" i="3"/>
  <c r="H34" i="3"/>
  <c r="H19" i="3"/>
  <c r="H20" i="3"/>
  <c r="H22" i="3"/>
  <c r="H25" i="3" s="1"/>
  <c r="H21" i="3"/>
  <c r="H18" i="3"/>
  <c r="H17" i="3"/>
  <c r="H16" i="3"/>
  <c r="H15" i="3"/>
  <c r="H14" i="3"/>
  <c r="H13" i="3"/>
  <c r="H12" i="3"/>
  <c r="H11" i="3"/>
  <c r="H23" i="3"/>
  <c r="R46" i="2"/>
  <c r="P46" i="2"/>
  <c r="N46" i="2"/>
  <c r="L46" i="2"/>
  <c r="J46" i="2"/>
  <c r="H46" i="2"/>
  <c r="E46" i="2"/>
  <c r="U45" i="2"/>
  <c r="T45" i="2"/>
  <c r="O45" i="2"/>
  <c r="O46" i="2" s="1"/>
  <c r="M45" i="2"/>
  <c r="M46" i="2" s="1"/>
  <c r="K45" i="2"/>
  <c r="K46" i="2" s="1"/>
  <c r="I45" i="2"/>
  <c r="I46" i="2" s="1"/>
  <c r="G45" i="2"/>
  <c r="G46" i="2" s="1"/>
  <c r="E45" i="2"/>
  <c r="V45" i="2" s="1"/>
  <c r="E44" i="2"/>
  <c r="R43" i="2"/>
  <c r="P43" i="2"/>
  <c r="N43" i="2"/>
  <c r="M42" i="2"/>
  <c r="M43" i="2" s="1"/>
  <c r="L43" i="2"/>
  <c r="J43" i="2"/>
  <c r="I42" i="2"/>
  <c r="I43" i="2" s="1"/>
  <c r="H43" i="2"/>
  <c r="E43" i="2"/>
  <c r="U42" i="2"/>
  <c r="T42" i="2"/>
  <c r="O42" i="2"/>
  <c r="O43" i="2" s="1"/>
  <c r="K42" i="2"/>
  <c r="K43" i="2" s="1"/>
  <c r="G42" i="2"/>
  <c r="G43" i="2" s="1"/>
  <c r="E42" i="2"/>
  <c r="E41" i="2"/>
  <c r="R40" i="2"/>
  <c r="P40" i="2"/>
  <c r="N40" i="2"/>
  <c r="L40" i="2"/>
  <c r="J40" i="2"/>
  <c r="H40" i="2"/>
  <c r="E40" i="2"/>
  <c r="U39" i="2"/>
  <c r="T39" i="2"/>
  <c r="K39" i="2"/>
  <c r="K40" i="2" s="1"/>
  <c r="I39" i="2"/>
  <c r="I40" i="2" s="1"/>
  <c r="G39" i="2"/>
  <c r="G40" i="2" s="1"/>
  <c r="E39" i="2"/>
  <c r="Q39" i="2" s="1"/>
  <c r="Q40" i="2" s="1"/>
  <c r="E38" i="2"/>
  <c r="R37" i="2"/>
  <c r="P37" i="2"/>
  <c r="N37" i="2"/>
  <c r="L37" i="2"/>
  <c r="J37" i="2"/>
  <c r="H37" i="2"/>
  <c r="E37" i="2"/>
  <c r="U36" i="2"/>
  <c r="T36" i="2"/>
  <c r="Q36" i="2"/>
  <c r="Q37" i="2" s="1"/>
  <c r="I36" i="2"/>
  <c r="I37" i="2" s="1"/>
  <c r="G36" i="2"/>
  <c r="G37" i="2" s="1"/>
  <c r="E36" i="2"/>
  <c r="K36" i="2" s="1"/>
  <c r="K37" i="2" s="1"/>
  <c r="E35" i="2"/>
  <c r="R34" i="2"/>
  <c r="P34" i="2"/>
  <c r="N34" i="2"/>
  <c r="L34" i="2"/>
  <c r="J34" i="2"/>
  <c r="H34" i="2"/>
  <c r="E34" i="2"/>
  <c r="U33" i="2"/>
  <c r="T33" i="2"/>
  <c r="Q33" i="2"/>
  <c r="Q34" i="2" s="1"/>
  <c r="O33" i="2"/>
  <c r="O34" i="2" s="1"/>
  <c r="G33" i="2"/>
  <c r="G34" i="2" s="1"/>
  <c r="E33" i="2"/>
  <c r="M33" i="2" s="1"/>
  <c r="M34" i="2" s="1"/>
  <c r="E32" i="2"/>
  <c r="R31" i="2"/>
  <c r="P31" i="2"/>
  <c r="N31" i="2"/>
  <c r="L31" i="2"/>
  <c r="J31" i="2"/>
  <c r="H31" i="2"/>
  <c r="E31" i="2"/>
  <c r="U30" i="2"/>
  <c r="T30" i="2"/>
  <c r="Q30" i="2"/>
  <c r="Q31" i="2" s="1"/>
  <c r="I30" i="2"/>
  <c r="I31" i="2" s="1"/>
  <c r="G30" i="2"/>
  <c r="G31" i="2" s="1"/>
  <c r="E30" i="2"/>
  <c r="K30" i="2" s="1"/>
  <c r="K31" i="2" s="1"/>
  <c r="E29" i="2"/>
  <c r="R28" i="2"/>
  <c r="P28" i="2"/>
  <c r="N28" i="2"/>
  <c r="L28" i="2"/>
  <c r="J28" i="2"/>
  <c r="H28" i="2"/>
  <c r="E28" i="2"/>
  <c r="U27" i="2"/>
  <c r="T27" i="2"/>
  <c r="Q27" i="2"/>
  <c r="Q28" i="2" s="1"/>
  <c r="G27" i="2"/>
  <c r="G28" i="2" s="1"/>
  <c r="E27" i="2"/>
  <c r="I27" i="2" s="1"/>
  <c r="I28" i="2" s="1"/>
  <c r="E26" i="2"/>
  <c r="R25" i="2"/>
  <c r="P25" i="2"/>
  <c r="N25" i="2"/>
  <c r="L25" i="2"/>
  <c r="J25" i="2"/>
  <c r="H25" i="2"/>
  <c r="E25" i="2"/>
  <c r="U24" i="2"/>
  <c r="T24" i="2"/>
  <c r="Q24" i="2"/>
  <c r="Q25" i="2" s="1"/>
  <c r="O24" i="2"/>
  <c r="O25" i="2" s="1"/>
  <c r="G24" i="2"/>
  <c r="G25" i="2" s="1"/>
  <c r="E24" i="2"/>
  <c r="E23" i="2"/>
  <c r="R22" i="2"/>
  <c r="P22" i="2"/>
  <c r="N22" i="2"/>
  <c r="L22" i="2"/>
  <c r="J22" i="2"/>
  <c r="H22" i="2"/>
  <c r="E22" i="2"/>
  <c r="U21" i="2"/>
  <c r="T21" i="2"/>
  <c r="Q21" i="2"/>
  <c r="Q22" i="2" s="1"/>
  <c r="O21" i="2"/>
  <c r="O22" i="2" s="1"/>
  <c r="M21" i="2"/>
  <c r="M22" i="2" s="1"/>
  <c r="E21" i="2"/>
  <c r="G21" i="2" s="1"/>
  <c r="G22" i="2" s="1"/>
  <c r="E20" i="2"/>
  <c r="R19" i="2"/>
  <c r="P19" i="2"/>
  <c r="O18" i="2"/>
  <c r="O19" i="2" s="1"/>
  <c r="N19" i="2"/>
  <c r="L19" i="2"/>
  <c r="J19" i="2"/>
  <c r="H19" i="2"/>
  <c r="E19" i="2"/>
  <c r="U18" i="2"/>
  <c r="T18" i="2"/>
  <c r="M18" i="2"/>
  <c r="M19" i="2" s="1"/>
  <c r="K18" i="2"/>
  <c r="K19" i="2" s="1"/>
  <c r="E18" i="2"/>
  <c r="Q18" i="2" s="1"/>
  <c r="Q19" i="2" s="1"/>
  <c r="E17" i="2"/>
  <c r="R16" i="2"/>
  <c r="P16" i="2"/>
  <c r="N16" i="2"/>
  <c r="L16" i="2"/>
  <c r="J16" i="2"/>
  <c r="H16" i="2"/>
  <c r="E16" i="2"/>
  <c r="U15" i="2"/>
  <c r="T15" i="2"/>
  <c r="Q15" i="2"/>
  <c r="Q16" i="2" s="1"/>
  <c r="O15" i="2"/>
  <c r="O16" i="2" s="1"/>
  <c r="M15" i="2"/>
  <c r="M16" i="2" s="1"/>
  <c r="K15" i="2"/>
  <c r="K16" i="2" s="1"/>
  <c r="E15" i="2"/>
  <c r="E14" i="2"/>
  <c r="R12" i="2"/>
  <c r="R13" i="2" s="1"/>
  <c r="H12" i="2"/>
  <c r="H13" i="2"/>
  <c r="E13" i="2"/>
  <c r="U12" i="2"/>
  <c r="T12" i="2"/>
  <c r="P12" i="2"/>
  <c r="P13" i="2"/>
  <c r="E12" i="2"/>
  <c r="N12" i="2"/>
  <c r="N13" i="2"/>
  <c r="L12" i="2"/>
  <c r="L13" i="2" s="1"/>
  <c r="J12" i="2"/>
  <c r="J8" i="2"/>
  <c r="L8" i="2"/>
  <c r="N8" i="2"/>
  <c r="P8" i="2" s="1"/>
  <c r="R8" i="2" s="1"/>
  <c r="H145" i="3"/>
  <c r="H150" i="3" s="1"/>
  <c r="H152" i="3" s="1"/>
  <c r="J13" i="2"/>
  <c r="V15" i="2" l="1"/>
  <c r="H112" i="3"/>
  <c r="H117" i="3" s="1"/>
  <c r="H119" i="3" s="1"/>
  <c r="Q12" i="2"/>
  <c r="Q47" i="2" s="1"/>
  <c r="H24" i="3"/>
  <c r="H29" i="3" s="1"/>
  <c r="H31" i="3" s="1"/>
  <c r="V24" i="2"/>
  <c r="I18" i="2"/>
  <c r="I19" i="2" s="1"/>
  <c r="M30" i="2"/>
  <c r="M31" i="2" s="1"/>
  <c r="I21" i="2"/>
  <c r="I22" i="2" s="1"/>
  <c r="K33" i="2"/>
  <c r="K34" i="2" s="1"/>
  <c r="I33" i="2"/>
  <c r="I34" i="2" s="1"/>
  <c r="O36" i="2"/>
  <c r="O37" i="2" s="1"/>
  <c r="V33" i="2"/>
  <c r="K24" i="2"/>
  <c r="K25" i="2" s="1"/>
  <c r="H201" i="3"/>
  <c r="E47" i="2"/>
  <c r="F12" i="2" s="1"/>
  <c r="Q42" i="2"/>
  <c r="Q43" i="2" s="1"/>
  <c r="V21" i="2"/>
  <c r="M24" i="2"/>
  <c r="M25" i="2" s="1"/>
  <c r="O30" i="2"/>
  <c r="O31" i="2" s="1"/>
  <c r="O39" i="2"/>
  <c r="O40" i="2" s="1"/>
  <c r="V42" i="2"/>
  <c r="G18" i="2"/>
  <c r="G19" i="2" s="1"/>
  <c r="G12" i="2"/>
  <c r="I24" i="2"/>
  <c r="I25" i="2" s="1"/>
  <c r="I12" i="2"/>
  <c r="M27" i="2"/>
  <c r="M28" i="2" s="1"/>
  <c r="V27" i="2"/>
  <c r="V30" i="2"/>
  <c r="V12" i="2"/>
  <c r="Q45" i="2"/>
  <c r="Q46" i="2" s="1"/>
  <c r="M36" i="2"/>
  <c r="M37" i="2" s="1"/>
  <c r="V18" i="2"/>
  <c r="K21" i="2"/>
  <c r="K22" i="2" s="1"/>
  <c r="O12" i="2"/>
  <c r="V36" i="2"/>
  <c r="M39" i="2"/>
  <c r="M40" i="2" s="1"/>
  <c r="M12" i="2"/>
  <c r="K27" i="2"/>
  <c r="K28" i="2" s="1"/>
  <c r="G15" i="2"/>
  <c r="G16" i="2" s="1"/>
  <c r="I15" i="2"/>
  <c r="I16" i="2" s="1"/>
  <c r="O27" i="2"/>
  <c r="O28" i="2" s="1"/>
  <c r="V39" i="2"/>
  <c r="K12" i="2"/>
  <c r="Q13" i="2" l="1"/>
  <c r="F27" i="2"/>
  <c r="F39" i="2"/>
  <c r="F33" i="2"/>
  <c r="F15" i="2"/>
  <c r="F45" i="2"/>
  <c r="F18" i="2"/>
  <c r="I13" i="2"/>
  <c r="I47" i="2"/>
  <c r="J47" i="2" s="1"/>
  <c r="J55" i="2" s="1"/>
  <c r="O47" i="2"/>
  <c r="P47" i="2" s="1"/>
  <c r="J58" i="2" s="1"/>
  <c r="O13" i="2"/>
  <c r="Q49" i="2"/>
  <c r="Q50" i="2" s="1"/>
  <c r="O49" i="2"/>
  <c r="G49" i="2"/>
  <c r="M49" i="2"/>
  <c r="E48" i="2"/>
  <c r="K49" i="2"/>
  <c r="I49" i="2"/>
  <c r="F36" i="2"/>
  <c r="F24" i="2"/>
  <c r="F30" i="2"/>
  <c r="M13" i="2"/>
  <c r="M47" i="2"/>
  <c r="N47" i="2" s="1"/>
  <c r="J57" i="2" s="1"/>
  <c r="G47" i="2"/>
  <c r="G13" i="2"/>
  <c r="R47" i="2"/>
  <c r="J59" i="2" s="1"/>
  <c r="K47" i="2"/>
  <c r="L47" i="2" s="1"/>
  <c r="J56" i="2" s="1"/>
  <c r="K13" i="2"/>
  <c r="F21" i="2"/>
  <c r="F42" i="2"/>
  <c r="O50" i="2" l="1"/>
  <c r="M50" i="2"/>
  <c r="K50" i="2"/>
  <c r="G48" i="2"/>
  <c r="H47" i="2"/>
  <c r="J54" i="2" s="1"/>
  <c r="K54" i="2" s="1"/>
  <c r="K55" i="2" s="1"/>
  <c r="K56" i="2" s="1"/>
  <c r="K57" i="2" s="1"/>
  <c r="K58" i="2" s="1"/>
  <c r="K59" i="2" s="1"/>
  <c r="I50" i="2"/>
  <c r="G50" i="2"/>
  <c r="H48" i="2" l="1"/>
  <c r="I48" i="2"/>
  <c r="K48" i="2" l="1"/>
  <c r="J48" i="2"/>
  <c r="M48" i="2" l="1"/>
  <c r="L48" i="2"/>
  <c r="O48" i="2" l="1"/>
  <c r="N48" i="2"/>
  <c r="Q48" i="2" l="1"/>
  <c r="R48" i="2" s="1"/>
  <c r="P48" i="2"/>
</calcChain>
</file>

<file path=xl/sharedStrings.xml><?xml version="1.0" encoding="utf-8"?>
<sst xmlns="http://schemas.openxmlformats.org/spreadsheetml/2006/main" count="1396" uniqueCount="539">
  <si>
    <t>Data-Base:</t>
  </si>
  <si>
    <t>SINAPI:</t>
  </si>
  <si>
    <t>Leis Sociais - Horista:</t>
  </si>
  <si>
    <t>Leis Sociais - Mensalista:</t>
  </si>
  <si>
    <t>B.D.I.:</t>
  </si>
  <si>
    <t>ITEM</t>
  </si>
  <si>
    <t>CÓDIGO</t>
  </si>
  <si>
    <t>DESCRIÇÃO</t>
  </si>
  <si>
    <t>CLASS</t>
  </si>
  <si>
    <t>UNIDADE</t>
  </si>
  <si>
    <t>PREÇO(R$)</t>
  </si>
  <si>
    <t>PREÇO TOTAL (R$)</t>
  </si>
  <si>
    <t xml:space="preserve">GERENCIAMENTO DE OBRAS/FISCALIZAÇÃO </t>
  </si>
  <si>
    <t>SER.CG</t>
  </si>
  <si>
    <t>H</t>
  </si>
  <si>
    <t>SERVIÇOS PRELIMINARES/TÉCNICOS</t>
  </si>
  <si>
    <t>MOVIMENTO DE TERRA</t>
  </si>
  <si>
    <t>TRANSPORTES DE MATERIAIS</t>
  </si>
  <si>
    <t>INFRAESTRUTURA</t>
  </si>
  <si>
    <t>SUPRAESTRUTURA</t>
  </si>
  <si>
    <t>ALVENARIA/VEDAÇÃO/DIVISÓRIA</t>
  </si>
  <si>
    <t>08.01</t>
  </si>
  <si>
    <t>08.02</t>
  </si>
  <si>
    <t>08.03</t>
  </si>
  <si>
    <t>08.04</t>
  </si>
  <si>
    <t>08.05</t>
  </si>
  <si>
    <t>08.06</t>
  </si>
  <si>
    <t>08.07</t>
  </si>
  <si>
    <t>08.08</t>
  </si>
  <si>
    <t>08.09</t>
  </si>
  <si>
    <t>PISOS</t>
  </si>
  <si>
    <t>10.</t>
  </si>
  <si>
    <t>11.</t>
  </si>
  <si>
    <t>IMPERMEABILIZAÇÃO</t>
  </si>
  <si>
    <t>12.</t>
  </si>
  <si>
    <t>REVESTIMENTOS</t>
  </si>
  <si>
    <t>PINTURAS</t>
  </si>
  <si>
    <t>ESQUADRIAS METÁLICAS</t>
  </si>
  <si>
    <t>SERVIÇOS FINAIS</t>
  </si>
  <si>
    <t>out-2016</t>
  </si>
  <si>
    <r>
      <rPr>
        <i/>
        <sz val="10"/>
        <color rgb="FF000000"/>
        <rFont val="Arial Narrow"/>
        <family val="2"/>
      </rPr>
      <t xml:space="preserve">Obra:  </t>
    </r>
    <r>
      <rPr>
        <b/>
        <i/>
        <sz val="10"/>
        <color rgb="FF000000"/>
        <rFont val="Arial Narrow"/>
        <family val="2"/>
      </rPr>
      <t>CONSTRUÇÃO DO MURO DE DIVISA/CONTORNO DO CAMPUS TEFÉ</t>
    </r>
  </si>
  <si>
    <t>jul-2016</t>
  </si>
  <si>
    <r>
      <rPr>
        <i/>
        <sz val="10"/>
        <color rgb="FF000000"/>
        <rFont val="Arial Narrow"/>
        <family val="2"/>
      </rPr>
      <t xml:space="preserve">Endereço: </t>
    </r>
    <r>
      <rPr>
        <b/>
        <i/>
        <sz val="10"/>
        <color rgb="FF000000"/>
        <rFont val="Arial Narrow"/>
        <family val="2"/>
      </rPr>
      <t xml:space="preserve">ESTRADA DAS MISSÕES S/Nº ZONA RURAL - CEP: 69.550-000 - Tefé/AM
</t>
    </r>
  </si>
  <si>
    <t>004. Planilha Orçamentária - CRONOGRAMA FÍSICO-FINANCEIRO</t>
  </si>
  <si>
    <t>DIAS</t>
  </si>
  <si>
    <t>DISCRIMINAÇÃO DAS ETAPAS</t>
  </si>
  <si>
    <t>PREÇO</t>
  </si>
  <si>
    <t>%</t>
  </si>
  <si>
    <t>VALOR</t>
  </si>
  <si>
    <t>PERC.</t>
  </si>
  <si>
    <t>ETAPA</t>
  </si>
  <si>
    <t>R$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</si>
  <si>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</si>
  <si>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</si>
  <si>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</si>
  <si>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</si>
  <si>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</si>
  <si>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</si>
  <si>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</si>
  <si>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</si>
  <si>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</si>
  <si>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TOTAL COM BDI (POR AVANÇOS)</t>
  </si>
  <si>
    <t>TOTAL COM BDI (ACUMULADO)</t>
  </si>
  <si>
    <t>med</t>
  </si>
  <si>
    <t>acum</t>
  </si>
  <si>
    <t>003. Planilha Orçamentária - COMPOSIÇÕES UNITÁRIAS</t>
  </si>
  <si>
    <t>COEF.</t>
  </si>
  <si>
    <t xml:space="preserve">73960/1U </t>
  </si>
  <si>
    <t>INSTAL/LIGACAO PROVISORIA ELETRICA BAIXA TENSAO P/CANT OBRA OBRA,M3-CHAVE 100A CARGA 3KWH,20CV EXCL FORN MEDIDOR</t>
  </si>
  <si>
    <t xml:space="preserve">SER.CG </t>
  </si>
  <si>
    <t xml:space="preserve">UN </t>
  </si>
  <si>
    <t>ELETRODUTO METALICO FLEXIVEL TIPO CONDUITE D = 1 1/2"</t>
  </si>
  <si>
    <t>MAT.</t>
  </si>
  <si>
    <t>M</t>
  </si>
  <si>
    <t>FUSIVEL DIAZED 20 A TAMANHO DII, CAPACIDADE DE INTERRUPCAO DE 50 KA EM VCA E 8 KA EM VCC, TENSAO NOMIMNAL DE 500 V</t>
  </si>
  <si>
    <t>UN</t>
  </si>
  <si>
    <t>CURVA PVC 90G P/ ELETRODUTO ROSCAVEL 1 1/2"</t>
  </si>
  <si>
    <t>ELETRODUTO DE PVC ROSCÁVEL DE 1/2?, SEM LUVA</t>
  </si>
  <si>
    <t>ISOLADOR DE PORCELANA, TIPO PINO MONOCORPO, PARA TENSAO DE *15* KV</t>
  </si>
  <si>
    <t>ABRACADEIRA TIPO D 1/2" C/ PARAFUSO"</t>
  </si>
  <si>
    <t>PECA DE MADEIRA DE LEI *7,5 X 15* CM ( 3" X 6" ), NÃO APARELHADA, (P/TELHADO, ESTRUTURAS PERMANENTES)</t>
  </si>
  <si>
    <t>TUBO ACO GALV C/ COSTURA DIN 2440/NBR 5580 CLASSE MEDIA DN 2.1/2" (65MM) E=3,65MM - 6,51KG/M</t>
  </si>
  <si>
    <t>88264U</t>
  </si>
  <si>
    <t>ELETRICISTA COM ENCARGOS COMPLEMENTARES</t>
  </si>
  <si>
    <t>88316U</t>
  </si>
  <si>
    <t>SERVENTE COM ENCARGOS COMPLEMENTARES</t>
  </si>
  <si>
    <t>CABO DE COBRE FLEXÍVEL DE 16 MM2, COM ISOLAMENTO ANTI-CHAMA 450/750 V</t>
  </si>
  <si>
    <t>PREÇO (mão-de-obra):</t>
  </si>
  <si>
    <t>PREÇO (material):</t>
  </si>
  <si>
    <t>PREÇO TOTAL (unit.):</t>
  </si>
  <si>
    <t>LS(%): 84,81</t>
  </si>
  <si>
    <t>BDI(%): 28,35</t>
  </si>
  <si>
    <t>ADM(%): 0,00</t>
  </si>
  <si>
    <t>TOTAL TAXA:</t>
  </si>
  <si>
    <t>PREÇO TOTAL UNIT. (c/ taxa):</t>
  </si>
  <si>
    <t>QUANTIDADE:</t>
  </si>
  <si>
    <t>PREÇO TOTAL (c/ taxa):</t>
  </si>
  <si>
    <t xml:space="preserve">CPU_IFAM.458 </t>
  </si>
  <si>
    <t>LIGAÇÃO PROVISÓRIA DE ÁGUA C/ TORNEIRA, TUBOS, REGISTRO E CONEXÕES</t>
  </si>
  <si>
    <t>REGISTRO DE ESFERA, PVC, COM VOLANTE, VS, ROSCAVEL, DN 1/2", COM CORPO DIVIDIDO</t>
  </si>
  <si>
    <t>TORNEIRA PLASTICA DE MESA, BICA MOVEL, PARA COZINHA 1/2 "</t>
  </si>
  <si>
    <t>LUVA SOLDAVEL COM ROSCA, PVC, 20 MM X 1/2", PARA AGUA FRIA PREDIAL</t>
  </si>
  <si>
    <t>LUVA PVC SOLDAVEL, 20 MM, PARA AGUA FRIA PREDIAL</t>
  </si>
  <si>
    <t>88267U</t>
  </si>
  <si>
    <t>ENCANADOR OU BOMBEIRO HIDRÁULICO COM ENCARGOS COMPLEMENTARES</t>
  </si>
  <si>
    <t>TUBO PVC, SOLDAVEL, DN 20 MM, AGUA FRIA (NBR-5648)</t>
  </si>
  <si>
    <t xml:space="preserve">CPU_IFAM.456 </t>
  </si>
  <si>
    <t>CHAPIM DE CONCRETO APARENTE COM ACABAMENTO DESEMPENADO, FORMA DE COMPENSADO PLASTIFICADO (MADEIRIT) DE 25CM DE LARGURA X 10 CM DE ALTURA, PRÉ-MOLDADO</t>
  </si>
  <si>
    <t xml:space="preserve">M </t>
  </si>
  <si>
    <t>TABUA DE MADEIRA NAO APARELHADA *2,5 X 10 CM (1 X 4 ") PINUS, MISTA OU EQUIVALENTE DA REGIAO</t>
  </si>
  <si>
    <t>CHAPA DE MADEIRA COMPENSADA PLASTIFICADA PARA FORMA DE CONCRETO, DE 2,20 x 1,10 M, E = 10 MM</t>
  </si>
  <si>
    <t>M2</t>
  </si>
  <si>
    <t>TELA DE ACO SOLDADA GALVANIZADA/ZINCADA PARA ALVENARIA, FIO D = *1,24 MM, MALHA 25 X 25 MM</t>
  </si>
  <si>
    <t>PREGO POLIDO COM CABECA 18 X 30</t>
  </si>
  <si>
    <t>KG</t>
  </si>
  <si>
    <t>88262U</t>
  </si>
  <si>
    <t>CARPINTEIRO DE FORMAS COM ENCARGOS COMPLEMENTARES</t>
  </si>
  <si>
    <t>88309U</t>
  </si>
  <si>
    <t>PEDREIRO COM ENCARGOS COMPLEMENTARES</t>
  </si>
  <si>
    <t>94963U</t>
  </si>
  <si>
    <t>CONCRETO FCK = 15MPA, TRAÇO 1:3,4:3,5 (CIMENTO/ AREIA MÉDIA/ BRITA 1) - PREPARO MECÂNICO COM BETONEIRA 400 L. AF_07/2016</t>
  </si>
  <si>
    <t>M3</t>
  </si>
  <si>
    <t xml:space="preserve"> ARGAMASSA TRAÇO 1:7 (CIMENTO E AREIA MÉDIA) COM ADIÇÃO DE PLASTIFICANTE PARA EMBOÇO/MASSA ÚNICA/ASSENTAMENTO DE ALVENARIA DE VEDAÇÃO, PREPARO MECÂNICO COM BETONEIRA 400 L. AF_06/2014 </t>
  </si>
  <si>
    <t>CPU_IFAM.XXX</t>
  </si>
  <si>
    <t>PORTÃO DE CORRER EM PERFIL METÁLICO E TELA DIMENSÕES 2,20X6M, INCLUSO TRILHOS E BASE EM CONCRETO</t>
  </si>
  <si>
    <t>UND</t>
  </si>
  <si>
    <t>CANTONEIRA ACO ABAS IGUAIS (QUALQUER BITOLA), ESPESSURA ENTRE 1/8" E 1/4"</t>
  </si>
  <si>
    <t>MAT</t>
  </si>
  <si>
    <t>cantoneira1/4"x1.1/2"</t>
  </si>
  <si>
    <t>kg/m</t>
  </si>
  <si>
    <t>559</t>
  </si>
  <si>
    <t>BARRA DE FERRO RETANGULAR, BARRA CHATA, 2 X 1/4" (L X E), 2,53 KG/M</t>
  </si>
  <si>
    <t>COEF H</t>
  </si>
  <si>
    <t>13340</t>
  </si>
  <si>
    <t>PERFIL "U" CHAPA ACO DOBRADA, E = 3,04 MM , H = 20 CM, ABAS= 5 CM (4,47 KG/M)</t>
  </si>
  <si>
    <t>SERRALHEIRO</t>
  </si>
  <si>
    <t>POR M2</t>
  </si>
  <si>
    <t>TELA DE ARAME GALV QUADRANGULAR / LOSANGULAR, FIO 2,77 MM (12 BWG), MALHA 8 X 8 CM, H = 2 M</t>
  </si>
  <si>
    <t>SOLDADOR</t>
  </si>
  <si>
    <t>PISO EM CONCRETO 20MPA PREPARO MECANICO, ESPESSURA 7 CM, COM ARMACAO EM TELA SOLDADA</t>
  </si>
  <si>
    <t>SERV.</t>
  </si>
  <si>
    <t>SERVENTE</t>
  </si>
  <si>
    <t>ROLDANA CONCOVA DUPLA, EM CHAPA DE ACO, ROLAMENTO INTERNO BLINDADO DE ACO REVESTIDO EM NYLON, PARA PORTA DE CORRER</t>
  </si>
  <si>
    <t xml:space="preserve"> INVERSOR DE SOLDA MONOFÁSICO DE 160 A, POTÊNCIA DE 5400 W, TENSÃO DE 220 V, PARA SOLDA COM ELETRODOS DE 2,0 A 4,0 MM E PROCESSO TIG - CHP DIURNO. AF_06/2018 </t>
  </si>
  <si>
    <t>CHP</t>
  </si>
  <si>
    <t>SOLDA</t>
  </si>
  <si>
    <t xml:space="preserve"> INVERSOR DE SOLDA MONOFÁSICO DE 160 A, POTÊNCIA DE 5400 W, TENSÃO DE 220 V , PARA SOLDA COM ELETRODOS DE 2,0 A 4,0 MM E PROCESSO TIG - CHI DIURNO. AF_06/2018</t>
  </si>
  <si>
    <t>CHI</t>
  </si>
  <si>
    <t>10997</t>
  </si>
  <si>
    <t>ELETRODO AWS E-7018 (OK 48.04; WI 718) D=4MM (SOLDA ELETRICA</t>
  </si>
  <si>
    <t>88309</t>
  </si>
  <si>
    <t>MO</t>
  </si>
  <si>
    <t>SOLDADOR COM ENCARGOS COMPLEMENTARES</t>
  </si>
  <si>
    <t>SERRALHEIRO COM ENCARGOS COMPLEMENTARES</t>
  </si>
  <si>
    <t>PORTA PARA PEDESTRES EM PERFIL METÁLICO E TELA DIMENSÕES 1,0X2,10M, INCLUSO BATENTE LATERAL EM PERFIL</t>
  </si>
  <si>
    <t>PORTA CADEADO, 3 1/2", EM ACO ZINCADO, PRETO, PARA PORTAO E JANELA</t>
  </si>
  <si>
    <t>DOBRADICA EM ACO/FERRO, 3 1/2" X 3", E= 1,9 A 2 MM, COM ANEL, CROMADO OU ZINCADO, TAMPA BOLA, COM PARAFUSOS</t>
  </si>
  <si>
    <t xml:space="preserve">JUNTA DE DILATACAO (DIMENSÕES LXP - 20X10MM) COM PREENCHIMENTO EM ISOPOR 20 MM E APLICAÇÃO DE SELANTE A BASE DE POLIURETANO  </t>
  </si>
  <si>
    <t>com base no sinapi 68328</t>
  </si>
  <si>
    <t>LIXA EM FOLHA PARA PAREDE OU MADEIRA, NUMERO 120 (COR VERMELHA)</t>
  </si>
  <si>
    <t>POLIESTIRENO EXPANDIDO/EPS (ISOPOR), TIPO 2F, PLACA, ISOLAMENTO TERMOACUSTICO, E = 20 MM, 1000 X 500 MM</t>
  </si>
  <si>
    <t xml:space="preserve">M2 </t>
  </si>
  <si>
    <t>COLA BRANCA BASE PVA</t>
  </si>
  <si>
    <t>L</t>
  </si>
  <si>
    <t>SELANTE ELASTICO MONOCOMPONENTE A BASE DE POLIURETANO PARA JUNTAS DIVERSAS</t>
  </si>
  <si>
    <t xml:space="preserve">310ML </t>
  </si>
  <si>
    <t xml:space="preserve"> SERVENTE COM ENCARGOS COMPLEMENTARES</t>
  </si>
  <si>
    <t>REMOÇÃO DE MOURÃO, COM REAPROVEITAMENTO DE 70%</t>
  </si>
  <si>
    <t>ESCAVAÇÃO MANUAL DE VALA COM PROFUNDIDADE MENOR OU IGUAL A 1,30 M. AF_03/2016</t>
  </si>
  <si>
    <t>DEMOLIÇÃO DE PILARES E VIGAS EM CONCRETO ARMADO, DE FORMA MECANIZADA COM MARTELETE, SEM REAPROVEITAMENTO. AF_12/2017</t>
  </si>
  <si>
    <t>REMOÇÃO DE ARAME FARPADO, COM REAPROVEITAMENTO DE 70%</t>
  </si>
  <si>
    <t>EXEMPLO DE COMPOSIÇÃO 97661 SINAPI e ORSE 000037</t>
  </si>
  <si>
    <t>1,3 COM REAPROVEITAMENTO</t>
  </si>
  <si>
    <t>0,7 PARA PORCENTAGEM</t>
  </si>
  <si>
    <t>INSTALAÇÃO DE CONCERTINA DUPLA CLIPADA EM ACO GALVANIZADO DE ALTA RESISTENCIA, COM ESPIRAL DE 300 MM, D = 2,76 MM</t>
  </si>
  <si>
    <t>EXEMPLO DE COMPOSIÇÃO 74142/1 SINAPI</t>
  </si>
  <si>
    <t>CONCERTINA CLIPADA (DUPLA) EM ACO GALVANIZADO DE ALTA RESISTENCIA, COM ESPIRALROSCA SOBERBA, CABECA CHATA E FENDA PHILLIPS</t>
  </si>
  <si>
    <t>ABRACADEIRA DE LATAO PARA FIXACAO DE CABO PARA-RAIO, DIMENSOES 32 X 24 X 24 MM</t>
  </si>
  <si>
    <t>BUCHA DE NYLON SEM ABA S8, COM PARAFUSO DE 4,80 X 50 MM EM ACO ZINCADO COM</t>
  </si>
  <si>
    <t xml:space="preserve">TOTAL GERAL: </t>
  </si>
  <si>
    <t>ALVARA DE CONSTRUÇÃO (LÁBREA)</t>
  </si>
  <si>
    <t>COTAÇÃO</t>
  </si>
  <si>
    <t>ALVARA DE CONSTRUÇÃO (LÁBREA) DE 401,00 A 500,00 M²</t>
  </si>
  <si>
    <t>TOTAL COM B.D.I. (28,35%)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</si>
  <si>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</si>
  <si>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</si>
  <si>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</si>
  <si>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</si>
  <si>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>DEPARTAMENTO DE INFRAESTRUTURA</t>
  </si>
  <si>
    <t>MEMÓRIA DE CÁLCULO</t>
  </si>
  <si>
    <t>PLANTIO DE GRAMA BATATAIS EM PLACAS. AF_05/2018</t>
  </si>
  <si>
    <t>FORNECIMENTO DE ARGILA, ARGILA VERMELHA OU ARGILA ARENOSA (RETIRADA NA JAZIDA, SEM TRANSPORTE), EMPOLADA (30%)</t>
  </si>
  <si>
    <t xml:space="preserve">VERGA PRÉ-MOLDADA PARA JANELAS COM MAIS DE 1,5 M DE VÃO. AF_03/2016 </t>
  </si>
  <si>
    <t xml:space="preserve">VERGA PRÉ-MOLDADA PARA PORTAS COM MAIS DE 1,5 M DE VÃO. AF_03/2016 </t>
  </si>
  <si>
    <t>FIXAÇÃO (ENCUNHAMENTO) DE ALVENARIA DE VEDAÇÃO COM ARGAMASSA APLICADA COM COLHER. AF_03/2016</t>
  </si>
  <si>
    <t>CIRCULAÇÃO</t>
  </si>
  <si>
    <t>BANCADA DE GRANITO CINZA POLIDO PARA PIA DE COZINHA 1,7 X 0,60 M  COM RODABANCADA DE 10 CM - FORNECIMENTO E INSTALAÇÃO. AF_12/2013</t>
  </si>
  <si>
    <t>CPU _ MANACAPURU 01 - BASE 98230 SINAPI</t>
  </si>
  <si>
    <t xml:space="preserve">ESTACA BROCA DE CONCRETO, DIÂMETRO DE 30 CM, PROFUNDIDADE DE ATÉ 5 M, ESCAVAÇÃO MANUAL COM TRADO CONCHA,NÃO  ARMADA. </t>
  </si>
  <si>
    <t>Unidade</t>
  </si>
  <si>
    <t>Coeficiente</t>
  </si>
  <si>
    <t xml:space="preserve"> CONCRETO FCK = 25MPA, TRAÇO 1:2,3:2,7 (CIMENTO/ AREIA MÉDIA/ BRITA 1)- PREPARO MECÂNICO COM BETONEIRA 600 L. AF_07/2016</t>
  </si>
  <si>
    <t>MINISTÉRIO DA EDUCAÇÃO - MEC</t>
  </si>
  <si>
    <t>SECRETARIA DE EDUCAÇÃO MÉDIA  E TECNOLÓGICA - SEMTEC</t>
  </si>
  <si>
    <t>INSTITUTO FEDERAL DE EDUCAÇÃO, CIÊNCIA E TECNOLOGIA DO AMAZONAS - IFAM</t>
  </si>
  <si>
    <t>PRO-REITORIA DE DESENVOLVIMENTO INSTITUCIONAL - PRODIN</t>
  </si>
  <si>
    <r>
      <rPr>
        <b/>
        <i/>
        <sz val="10"/>
        <color rgb="FF000000"/>
        <rFont val="Arial"/>
        <family val="2"/>
      </rPr>
      <t xml:space="preserve">Obra: </t>
    </r>
    <r>
      <rPr>
        <i/>
        <sz val="10"/>
        <color rgb="FF000000"/>
        <rFont val="Arial"/>
        <family val="2"/>
      </rPr>
      <t>Reforma e Ampliação do Refeitório do Campus Manacapuru</t>
    </r>
  </si>
  <si>
    <r>
      <rPr>
        <b/>
        <i/>
        <sz val="10"/>
        <color rgb="FF000000"/>
        <rFont val="Arial"/>
        <family val="2"/>
      </rPr>
      <t>Endereço</t>
    </r>
    <r>
      <rPr>
        <i/>
        <sz val="10"/>
        <color rgb="FF000000"/>
        <rFont val="Arial"/>
        <family val="2"/>
      </rPr>
      <t>: Rua Waldemar Ventura, s/nº, São José. Manacapuru/AM. CEP: 69400-000</t>
    </r>
  </si>
  <si>
    <t>ANEXO 1</t>
  </si>
  <si>
    <t>RESUMO</t>
  </si>
  <si>
    <t>TOTAL</t>
  </si>
  <si>
    <t>CHAPISCO INTERNO</t>
  </si>
  <si>
    <t>CHAPISCO EXTERNO S/ VÃO</t>
  </si>
  <si>
    <t>CHAPISCO EXTERNO C/ VÃO</t>
  </si>
  <si>
    <t>REBOCO INTERNO - VÃOS MENORES QUE 10M²</t>
  </si>
  <si>
    <t>REBOCO INTERNO - VÃOS MAIORES QUE 10M²</t>
  </si>
  <si>
    <t>EMBOÇO INTERNO - VÃOS MENORES QUE 5M² PARA RECEBIMENTO DE CERÂMICA</t>
  </si>
  <si>
    <t>EMBOÇO INTERNO - VÃOS ENTRE 5 E 10M² PARA RECEBIMENTO DE CERÂMICA</t>
  </si>
  <si>
    <t>EMBOÇO INTERNO - VÃOS MAIORES QUE 10M² PARA RECEBIMENTO DE CERÂMICA</t>
  </si>
  <si>
    <t>EMBOÇO EXTERNO S/ VÃO</t>
  </si>
  <si>
    <t>EMBOÇO EXTERNO C/ VÃO</t>
  </si>
  <si>
    <t>CERÂMICA PAREDE</t>
  </si>
  <si>
    <t>MASSA PVA TETO</t>
  </si>
  <si>
    <t>TEXTURA ÁCRILICA</t>
  </si>
  <si>
    <t>SELADOR ACRILICO</t>
  </si>
  <si>
    <t>CHAPISCO DO TETO</t>
  </si>
  <si>
    <t>REBOCO DE TETO</t>
  </si>
  <si>
    <t>SELADOR TETO</t>
  </si>
  <si>
    <t>TINTA ACRILICA TETO</t>
  </si>
  <si>
    <t>SECRETARIA DE EDUCAÇÃO MÉDIA  E TECNOLÓGICA</t>
  </si>
  <si>
    <t>INSTITUTO FEDERAL DE EDUCAÇÃO, CIÊNCIA E TECNOLOGIA DO AMAZONAS</t>
  </si>
  <si>
    <t>PRO-REITORIA DE DESENVOLVIMENTO INSTITUCIONAL</t>
  </si>
  <si>
    <t>DEPARTAMENTO DE OBRAS E SERVIÇOS DE ENGENHARIA</t>
  </si>
  <si>
    <r>
      <rPr>
        <b/>
        <i/>
        <sz val="9"/>
        <color rgb="FF000000"/>
        <rFont val="Arial"/>
        <family val="2"/>
      </rPr>
      <t xml:space="preserve">Objeto: </t>
    </r>
    <r>
      <rPr>
        <i/>
        <sz val="9"/>
        <color rgb="FF000000"/>
        <rFont val="Arial"/>
        <family val="2"/>
      </rPr>
      <t>Reforma e Ampliação do Refeitório do Campus Tabatinga</t>
    </r>
  </si>
  <si>
    <r>
      <rPr>
        <b/>
        <i/>
        <sz val="9"/>
        <color rgb="FF000000"/>
        <rFont val="Arial"/>
        <family val="2"/>
      </rPr>
      <t xml:space="preserve">Endereço: </t>
    </r>
    <r>
      <rPr>
        <sz val="9"/>
        <color rgb="FF000000"/>
        <rFont val="Arial"/>
        <family val="2"/>
      </rPr>
      <t xml:space="preserve">Avenida Santos Dumont, S/Nº. Bairro: Expansão Município: Tabatinga/AM – CEP: 69.640-000 </t>
    </r>
  </si>
  <si>
    <t>ESPEC</t>
  </si>
  <si>
    <t>CÓD SINAPI</t>
  </si>
  <si>
    <t>QUANT</t>
  </si>
  <si>
    <t>ALVENARIA DE VEDAÇÃO DE BLOCOS CERÂMICOS FURADOS NA HORIZONTAL DE 9X19X19CM (ESPESSURA 9CM) DE PAREDES COM ÁREA LÍQUIDA MENOR QUE 6M² SEM VÃOS E ARGAMASSA DE ASSENTAMENTO COM PREPARO EM BETONEIRA. AF_06/2014</t>
  </si>
  <si>
    <t>87495U</t>
  </si>
  <si>
    <t>ALVENARIA DE VEDAÇÃO DE BLOCOS CERÂMICOS FURADOS NA HORIZONTAL DE 9X19X19CM (ESPESSURA 9CM) DE PAREDES COM ÁREA LÍQUIDA MAIOR OU IGUAL A 6M² SEM VÃOS E ARGAMASSA DE ASSENTAMENTO COM PREPARO EM BETONEIRA. AF_06/2014</t>
  </si>
  <si>
    <t>87503U</t>
  </si>
  <si>
    <t>ALVENARIA DE VEDAÇÃO DE BLOCOS CERÂMICOS FURADOS NA HORIZONTAL DE 9X19X19CM (ESPESSURA 9CM) DE PAREDES COM ÁREA LÍQUIDA MENOR QUE 6M² COM VÃOS E ARGAMASSA DE ASSENTAMENTO COM PREPARO EM BETONEIRA. AF_06/2014</t>
  </si>
  <si>
    <t>87511U</t>
  </si>
  <si>
    <t>ALVENARIA DE VEDAÇÃO DE BLOCOS CERÂMICOS FURADOS NA HORIZONTAL DE 9X19X19CM (ESPESSURA 9CM) DE PAREDES COM ÁREA LÍQUIDA MAIOR OU IGUAL A 6M² COM VÃOS E ARGAMASSA DE ASSENTAMENTO COM PREPARO EM BETONEIRA. AF_06/2014</t>
  </si>
  <si>
    <t>87519U</t>
  </si>
  <si>
    <t>VERGA PRÉ-MOLDADA PARA JANELAS COM ATÉ 1,5 M DE VÃO. AF_03/2016</t>
  </si>
  <si>
    <t>93182U</t>
  </si>
  <si>
    <t>93183U</t>
  </si>
  <si>
    <t>VERGA PRÉ-MOLDADA PARA PORTAS COM ATÉ 1,5 M DE VÃO. AF_03/2016</t>
  </si>
  <si>
    <t>93184U</t>
  </si>
  <si>
    <t>93185U</t>
  </si>
  <si>
    <t>CONTRAVERGA PRÉ-MOLDADA PARA VÃOS DE ATÉ 1,5 M DE COMPRIMENTO. AF_03/2016</t>
  </si>
  <si>
    <t>93194U</t>
  </si>
  <si>
    <t>08.10</t>
  </si>
  <si>
    <t>CONTRAVERGA PRÉ-MOLDADA PARA VÃOS DE MAIS DE 1,5 M DE COMPRIMENTO. AF_03/2016</t>
  </si>
  <si>
    <t>93195U</t>
  </si>
  <si>
    <t>08.11</t>
  </si>
  <si>
    <t>93201U</t>
  </si>
  <si>
    <t>08.12</t>
  </si>
  <si>
    <t>PEITORIL DE GRANITO</t>
  </si>
  <si>
    <t>COMP IFAM</t>
  </si>
  <si>
    <t>08.13</t>
  </si>
  <si>
    <t>ALVENARIA DE VEDAÇÃO DE BLOCOS CERÂMICOS FURADOS NA VERTICAL DE 19X19X39CM (ESPESSURA 19CM) DE PAREDES COM ÁREA LÍQUIDA MENOR QUE 6M² SEM VÃOS E ARGAMASSA DE ASSENTAMENTO COM PREPARO EM BETONEIRA. AF_06/2014</t>
  </si>
  <si>
    <t>87475U</t>
  </si>
  <si>
    <r>
      <rPr>
        <b/>
        <i/>
        <sz val="10"/>
        <color rgb="FF000000"/>
        <rFont val="Arial"/>
        <family val="2"/>
      </rPr>
      <t xml:space="preserve">Obra: </t>
    </r>
    <r>
      <rPr>
        <i/>
        <sz val="10"/>
        <color rgb="FF000000"/>
        <rFont val="Arial"/>
        <family val="2"/>
      </rPr>
      <t>Reforma e Ampliação do Refeitório do Campus Tabatinga</t>
    </r>
  </si>
  <si>
    <r>
      <rPr>
        <b/>
        <i/>
        <sz val="10"/>
        <color rgb="FF000000"/>
        <rFont val="Arial"/>
        <family val="2"/>
      </rPr>
      <t xml:space="preserve">Endereço: </t>
    </r>
    <r>
      <rPr>
        <i/>
        <sz val="10"/>
        <color rgb="FF000000"/>
        <rFont val="Arial"/>
        <family val="2"/>
      </rPr>
      <t>Av. Santos Dumont, S/Nº, Expansão. Tabatinga - AM</t>
    </r>
  </si>
  <si>
    <t>ANEXO 2</t>
  </si>
  <si>
    <t>Listagem de Aço - Estrutura Metálica</t>
  </si>
  <si>
    <t>Obra: Reforma e Ampliação do Refeitório do Campus Tabatinga</t>
  </si>
  <si>
    <t>TOTAL GERAL</t>
  </si>
  <si>
    <t>TELHA</t>
  </si>
  <si>
    <t>CUMEEIRA</t>
  </si>
  <si>
    <t xml:space="preserve">CALHA </t>
  </si>
  <si>
    <t>ZARCÃO</t>
  </si>
  <si>
    <t>PINTURA ESMALTE</t>
  </si>
  <si>
    <t>TRELIÇAS</t>
  </si>
  <si>
    <t>TERÇAS E ALINHADORES</t>
  </si>
  <si>
    <t>POS</t>
  </si>
  <si>
    <t>QTDE</t>
  </si>
  <si>
    <t>COMP UNIT. (mm)</t>
  </si>
  <si>
    <t>COMP. TOTAL (m)</t>
  </si>
  <si>
    <t>KG/M</t>
  </si>
  <si>
    <t>PESO (Kg)</t>
  </si>
  <si>
    <t>U125x50x3</t>
  </si>
  <si>
    <t>U120x40x3</t>
  </si>
  <si>
    <t>UEnr100x50x20x3</t>
  </si>
  <si>
    <t>L25X25X2</t>
  </si>
  <si>
    <t>UEnr75x45x20x2</t>
  </si>
  <si>
    <t>VENEZIANA ZARCÃO FRENTE E VERSO</t>
  </si>
  <si>
    <t>VENEZIANA PINTURA ESMALTE FRENTE</t>
  </si>
  <si>
    <t>CPU NOVA</t>
  </si>
  <si>
    <t>BANCADA DE GRANITO CINZA POLIDO PARA PIA DE COZINHA  COM RODABANCADA DE 10 CM- FORNECIMENTO E INSTALAÇÃO. AF_12/2013</t>
  </si>
  <si>
    <t>4823</t>
  </si>
  <si>
    <t>MASSA PLASTICA PARA MARMORE/GRANITO</t>
  </si>
  <si>
    <t>INSUMO</t>
  </si>
  <si>
    <t>7568</t>
  </si>
  <si>
    <t>BUCHA DE NYLON SEM ABA S10, COM PARAFUSO DE 6,10 X 65 MM EM ACO ZINCADO COM ROSCA SOBERBA, CABECA CHATA E FENDA PHILLIPS</t>
  </si>
  <si>
    <t>6,0000000</t>
  </si>
  <si>
    <t>11795</t>
  </si>
  <si>
    <t>GRANITO PARA BANCADA, POLIDO, TIPO ANDORINHA/ QUARTZ/ CASTELO/ CORUMBA OU OUTROS EQUIVALENTES DA REGIAO, E=  *2,5* CM</t>
  </si>
  <si>
    <t>37329</t>
  </si>
  <si>
    <t>REJUNTE EPOXI BRANCO</t>
  </si>
  <si>
    <t>37591</t>
  </si>
  <si>
    <t>SUPORTE MAO-FRANCESA EM ACO, ABAS IGUAIS 40 CM, CAPACIDADE MINIMA 70 KG, BRANCO</t>
  </si>
  <si>
    <t>2,0000000</t>
  </si>
  <si>
    <t>88274</t>
  </si>
  <si>
    <t>MARMORISTA/GRANITEIRO COM ENCARGOS COMPLEMENTARES</t>
  </si>
  <si>
    <t>M.O.</t>
  </si>
  <si>
    <t>1,4900000</t>
  </si>
  <si>
    <t>88316</t>
  </si>
  <si>
    <t>0,9800000</t>
  </si>
  <si>
    <t>BANCADA DE GRANITO CINZA POLIDO PARA PIA DE COZINHA 2,10 X 0,60 M  COM RODABANCADA DE 10 CM - FORNECIMENTO E INSTALAÇÃO. AF_12/2013</t>
  </si>
  <si>
    <t>0,0429000</t>
  </si>
  <si>
    <t>1,0400000</t>
  </si>
  <si>
    <t>0,0701000</t>
  </si>
  <si>
    <t xml:space="preserve"> TELHAMENTO COM TELHA METÁLICA TERMOACÚSTICA E = 30 MM, COM ATÉ 2 ÁGUAS, INCLUSO IÇAMENTO. AF_07/2019</t>
  </si>
  <si>
    <t>CONFORME SINAPI 94216</t>
  </si>
  <si>
    <t>11029</t>
  </si>
  <si>
    <t>HASTE RETA PARA GANCHO DE FERRO GALVANIZADO, COM ROSCA 1/4 " X 30 CM PARA FIXACAO DE TELHA METALICA, INCLUI PORCA E ARRUELAS DE VEDACAO</t>
  </si>
  <si>
    <t>CJ</t>
  </si>
  <si>
    <t>4,1500000</t>
  </si>
  <si>
    <t>1,62</t>
  </si>
  <si>
    <t>TELHA GALVALUME COM ISOLAMENTO TERMOACUSTICO EM ESPUMA RIGIDA DE POLIURETANO (PU) INJETADO, ESPESSURA DE 30 MM, DENSIDADE DE 35 KG/M3, COM DUAS FACES TRAPEZOIDAIS, ACABAMENTO NATURAL (NAO INCLUI ACESSORIOS DE FIXACAO) (COLETADO CAIXA)</t>
  </si>
  <si>
    <t>1,1460000</t>
  </si>
  <si>
    <t>COMPOSICAO</t>
  </si>
  <si>
    <t>0,0620000</t>
  </si>
  <si>
    <t>14,40</t>
  </si>
  <si>
    <t>88323</t>
  </si>
  <si>
    <t>TELHADISTA COM ENCARGOS COMPLEMENTARES</t>
  </si>
  <si>
    <t>0,0560000</t>
  </si>
  <si>
    <t>21,72</t>
  </si>
  <si>
    <t>93281</t>
  </si>
  <si>
    <t>GUINCHO ELÉTRICO DE COLUNA, CAPACIDADE 400 KG, COM MOTO FREIO, MOTOR TRIFÁSICO DE 1,25 CV - CHP DIURNO. AF_03/2016</t>
  </si>
  <si>
    <t>0,0009000</t>
  </si>
  <si>
    <t>18,34</t>
  </si>
  <si>
    <t>93282</t>
  </si>
  <si>
    <t>GUINCHO ELÉTRICO DE COLUNA, CAPACIDADE 400 KG, COM MOTO FREIO, MOTOR TRIFÁSICO DE 1,25 CV - CHI DIURNO. AF_03/2016</t>
  </si>
  <si>
    <t>0,0012000</t>
  </si>
  <si>
    <t>17,39</t>
  </si>
  <si>
    <t>CPU01_Refeitório de Manacapuru - BASE ( SINAPI -00006079)</t>
  </si>
  <si>
    <t>ARGILA, ARGILA VERMELHA OU ARGILA ARENOSA (RETIRADA NA JAZIDA, SEM TRANSPORTE)</t>
  </si>
  <si>
    <t>SIFAO PLASTICO EXTENSIVEL UNIVERSAL, TIPO COPO</t>
  </si>
  <si>
    <t>ASSENTO VASO SANITARIO INFANTIL EM PLASTICO BRANCO</t>
  </si>
  <si>
    <t>ASSENTO SANITARIO DE PLASTICO, TIPO CONVENCIONAL</t>
  </si>
  <si>
    <t>PRO-REITORIA DE ADMINISTRAÇÃO</t>
  </si>
  <si>
    <t>DIRETORIA DE INFRAESTRUTURA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</si>
  <si>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</si>
  <si>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</si>
  <si>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98689</t>
  </si>
  <si>
    <t>SOLEIRA EM GRANITO, LARGURA 15 CM, ESPESSURA 2,0 CM. AF_09/2020</t>
  </si>
  <si>
    <t>BLOCO B</t>
  </si>
  <si>
    <t>BLOCO C</t>
  </si>
  <si>
    <t>BLOCO D</t>
  </si>
  <si>
    <t>BLOCO E</t>
  </si>
  <si>
    <t>BLOCO F</t>
  </si>
  <si>
    <t>BLOCO G</t>
  </si>
  <si>
    <t>BLOCO H</t>
  </si>
  <si>
    <t>BLOCO I</t>
  </si>
  <si>
    <t>BLOCO J</t>
  </si>
  <si>
    <t>REFEITÓRIO</t>
  </si>
  <si>
    <t>PAVIMENTAÇÃO INTERNA</t>
  </si>
  <si>
    <t>10.2</t>
  </si>
  <si>
    <t>PAVIMENTAÇÃO EXTERNA</t>
  </si>
  <si>
    <t>92396</t>
  </si>
  <si>
    <t>92391</t>
  </si>
  <si>
    <t>98504</t>
  </si>
  <si>
    <t>94263</t>
  </si>
  <si>
    <t>EXECUÇÃO DE PASSEIO EM PISO INTERTRAVADO, COM BLOCO RETANGULAR COR NATURAL DE 20 X 10 CM, ESPESSURA 6 CM. AF_10/2022</t>
  </si>
  <si>
    <t>EXECUÇÃO DE PAVIMENTO EM PISO INTERTRAVADO, COM BLOCO PISOGRAMA DE 35 X 15 CM, ESPESSURA 6 CM. AF_10/2022</t>
  </si>
  <si>
    <r>
      <rPr>
        <b/>
        <sz val="9"/>
        <color rgb="FF000000"/>
        <rFont val="Arial"/>
        <family val="2"/>
      </rPr>
      <t>Endereço:</t>
    </r>
    <r>
      <rPr>
        <sz val="9"/>
        <color rgb="FF000000"/>
        <rFont val="Arial"/>
        <family val="2"/>
      </rPr>
      <t xml:space="preserve"> </t>
    </r>
  </si>
  <si>
    <t>AREA DE PISO =</t>
  </si>
  <si>
    <t>PATIO DE SERVIÇO</t>
  </si>
  <si>
    <t>ESTACIONAMENTO 1</t>
  </si>
  <si>
    <t>ESTACIONAMENTO 2</t>
  </si>
  <si>
    <t>4.7</t>
  </si>
  <si>
    <t>CONCRETO ARMADO - PISO PARA QUADRA</t>
  </si>
  <si>
    <t>MONTAGEM E DESMONTAGEM DE FÔRMA DE LAJE MACIÇA, PÉ-DIREITO SIMPLES, EM CHAPA DE MADEIRA COMPENSADA PLASTIFICADA, 10 UTILIZAÇÕES. AF_09/2020</t>
  </si>
  <si>
    <t>APLICAÇÃO DE LONA PLÁSTICA PARA EXECUÇÃO DE PAVIMENTOS DE CONCRETO. AF_04/2022</t>
  </si>
  <si>
    <t>ARMAÇÃO PARA EXECUÇÃO DE RADIER, PISO DE CONCRETO OU LAJE SOBRE SOLO, COM USO DE TELA Q-92. AF_09/2021</t>
  </si>
  <si>
    <t>PISO EM CONCRETO 20 MPA PREPARO MECÂNICO, ESPESSURA 7CM. AF_09/2020</t>
  </si>
  <si>
    <t>LASTRO COM MATERIAL GRANULAR (PEDRA BRITADA N.1 E PEDRA BRITADA N.2), APLICADO EM PISOS OU LAJES SOBRE SOLO, ESPESSURA DE *10 CM*. AF_01/2024</t>
  </si>
  <si>
    <t>92526</t>
  </si>
  <si>
    <t>97113</t>
  </si>
  <si>
    <t>97088</t>
  </si>
  <si>
    <t>101747</t>
  </si>
  <si>
    <t>100324</t>
  </si>
  <si>
    <t>Objeto: Obra de Construção do IFAM campus Manicoré</t>
  </si>
  <si>
    <t>11</t>
  </si>
  <si>
    <t>PINTURAS E ACABAMENTOS</t>
  </si>
  <si>
    <t>11.3.2</t>
  </si>
  <si>
    <t>QUADRA</t>
  </si>
  <si>
    <t>102494</t>
  </si>
  <si>
    <t>PINTURA DE PISO COM TINTA EPÓXI, APLICAÇÃO MANUAL, 2 DEMÃOS, INCLUSO PRIMER EPÓXI. AF_05/2021</t>
  </si>
  <si>
    <t>BICICLETÁRIO 1</t>
  </si>
  <si>
    <t>BICICLETÁRIO  2</t>
  </si>
  <si>
    <t>REVESTIMENTOS INTERNO E EXTERNO</t>
  </si>
  <si>
    <t>EDIFICAÇÃO (FORRO)</t>
  </si>
  <si>
    <t>9.1</t>
  </si>
  <si>
    <t xml:space="preserve">CIRULAÇÃO </t>
  </si>
  <si>
    <t>SECRETARIA</t>
  </si>
  <si>
    <t>ALMOXARIFADO</t>
  </si>
  <si>
    <t>S. PROFESSORES</t>
  </si>
  <si>
    <t>ATENDIMENTO</t>
  </si>
  <si>
    <t>COORDENAÇÃO</t>
  </si>
  <si>
    <t>WC. MASCULINO</t>
  </si>
  <si>
    <t xml:space="preserve"> DIREÇÃO</t>
  </si>
  <si>
    <t>WC. ACESSIVEL M</t>
  </si>
  <si>
    <t>WC. ACESSIVEL F</t>
  </si>
  <si>
    <t xml:space="preserve">WC. FEMININO </t>
  </si>
  <si>
    <t>BIBLIOTECA</t>
  </si>
  <si>
    <t>S. MULTIUSO 1</t>
  </si>
  <si>
    <t>S. MULTIUSO 2</t>
  </si>
  <si>
    <t>S. MULTIUSO 3</t>
  </si>
  <si>
    <t>S. REC. MULTIF.</t>
  </si>
  <si>
    <t>SADA DE AULA 1</t>
  </si>
  <si>
    <t>SADA DE AULA 2</t>
  </si>
  <si>
    <t>SADA DE AULA 3</t>
  </si>
  <si>
    <t>SADA DE AULA 4</t>
  </si>
  <si>
    <t>SADA DE AULA 5</t>
  </si>
  <si>
    <t>SADA DE AULA 6</t>
  </si>
  <si>
    <t>SADA DE AULA 7</t>
  </si>
  <si>
    <t>SADA DE AULA 8</t>
  </si>
  <si>
    <t>SADA DE AULA 9</t>
  </si>
  <si>
    <t>SADA DE AULA 10</t>
  </si>
  <si>
    <t>SADA DE AULA 11</t>
  </si>
  <si>
    <t>SADA DE AULA 12</t>
  </si>
  <si>
    <t>SADA DE AULA 13</t>
  </si>
  <si>
    <t>COPA FUNCIONÁRIOS</t>
  </si>
  <si>
    <t>VEST. FEMININO</t>
  </si>
  <si>
    <t>VEST. MASCULINO</t>
  </si>
  <si>
    <t>VARANDA DE SERV.</t>
  </si>
  <si>
    <t>LAVANDERIA</t>
  </si>
  <si>
    <t>DML</t>
  </si>
  <si>
    <t>HALL</t>
  </si>
  <si>
    <t>DESPENSA</t>
  </si>
  <si>
    <t>UTENSÍLIOS</t>
  </si>
  <si>
    <t>COZINHA</t>
  </si>
  <si>
    <t>DEPÓSITO</t>
  </si>
  <si>
    <t>DEP. MAT. ESPORTIVO</t>
  </si>
  <si>
    <t>VEST. ACESSÍVEL</t>
  </si>
  <si>
    <t>WC MASCULINO</t>
  </si>
  <si>
    <t>WC ACESSÍVEL MASC</t>
  </si>
  <si>
    <t>WC FEMININO</t>
  </si>
  <si>
    <t>SALA DE AULA 1</t>
  </si>
  <si>
    <t>SALA DE AULA 2</t>
  </si>
  <si>
    <t>SALA DE AULA 3</t>
  </si>
  <si>
    <t>SALA DE AULA 4</t>
  </si>
  <si>
    <t>SALA DE AULA 5</t>
  </si>
  <si>
    <t>SALA DE AULA 6</t>
  </si>
  <si>
    <t>SALA DE AULA 7</t>
  </si>
  <si>
    <t>SALA DE AULA 8</t>
  </si>
  <si>
    <t>SALA DE AULA 9</t>
  </si>
  <si>
    <t>SALA DE AULA 10</t>
  </si>
  <si>
    <t>SALA DE AULA 11</t>
  </si>
  <si>
    <t>SALA DE AULA 12</t>
  </si>
  <si>
    <t>SALA DE AULA 13</t>
  </si>
  <si>
    <t>VOLUME DE PISO =</t>
  </si>
  <si>
    <t>BIBLIOTECA EXTERNA</t>
  </si>
  <si>
    <t>HALL (CIRCULAÇÃO)</t>
  </si>
  <si>
    <t>WC ACESSÍVEL FEM</t>
  </si>
  <si>
    <t>PATIO COBERTO</t>
  </si>
  <si>
    <t>LASTRO DE CONCRETO MAGRO, APLICADO EM PISOS, LAJES SOBRE SOLO OU RADIERS, ESPESSURA DE 3 CM. AF_01/2024</t>
  </si>
  <si>
    <t>RODAPÉ CERÂMICO DE 10 CM DE ALTURA COM PLACAS ANTIDERRAPANTE DE DIMENSÕES 45X45CM, COR BRANCO GELO.</t>
  </si>
  <si>
    <t>CP-88649-46894053</t>
  </si>
  <si>
    <t>CP-98689-06009729</t>
  </si>
  <si>
    <t>SOLEIRA EM GRANITO, LARGURA 20 CM, ESPESSURA 2,0 CM.</t>
  </si>
  <si>
    <t>ATERRO MANUAL DE VALAS COM AREIA PARA ATERRO. H=30CM</t>
  </si>
  <si>
    <t>COMP-02315058</t>
  </si>
  <si>
    <t>FORRO DE FIBRA MINERAL EM PLACAS 1250 X 625 MM, E=15MM, COM PINTURA ANTIMOFO, BORDA RETA APOIADO EM PERFIL DE ACO GALVANIZADO COM 24 MM DE BASE - INSTALADO (M2)</t>
  </si>
  <si>
    <t>COMP-23930848</t>
  </si>
  <si>
    <t>FORRO DE TELA ONDULADA EM ARAME GALVANIZADO - COR NATURAL - INSTALADO (M2)</t>
  </si>
  <si>
    <t>PERGUNTAR DE OND VEIO OS 5,66</t>
  </si>
  <si>
    <t>LIXEIRA</t>
  </si>
  <si>
    <t>EXECUÇÃO DE PASSEIO (CALÇADA) OU PISO DE CONCRETO COM CONCRETO MOLDADO IN LOCO, FEITO EM OBRA, ACABAMENTO CONVENCIONAL, NÃO ARMADO. AF_08/2022</t>
  </si>
  <si>
    <t>BLOCO I / J</t>
  </si>
  <si>
    <t>CIRCULAÇAO 1</t>
  </si>
  <si>
    <t>CIRCULAÇAO 2</t>
  </si>
  <si>
    <t>CIRCULAÇÃO ACESSO</t>
  </si>
  <si>
    <t>RODAPÉ EM MARMORITE, ALTURA 10CM. AF_09/2020</t>
  </si>
  <si>
    <t>CURCULAÇAO EXTERNA</t>
  </si>
  <si>
    <t>32,96+9,39+117,39</t>
  </si>
  <si>
    <t>CALCADA DA FRENTE 1,85 LARGURA</t>
  </si>
  <si>
    <t>CALCADA FRENTE</t>
  </si>
  <si>
    <t>CALCADA GUARITA</t>
  </si>
  <si>
    <t>CALCADA ESTACIONAMENTO CENTRAL</t>
  </si>
  <si>
    <t>CALCADA ESTACIONAMENTO NA LATERAL</t>
  </si>
  <si>
    <t>EXECUÇÃO DE PAVIMENTO EM PISO INTERTRAVADO, COM BLOCO RETANGULAR COR NATURAL DE 20 X 10 CM, ESPESSURA 8 CM. AF_10/2022</t>
  </si>
  <si>
    <t>QUADRA DE VOLEI</t>
  </si>
  <si>
    <t>AREA DE PISO X ESP. DE 30 CM=</t>
  </si>
  <si>
    <t>BLOCO F / BLOCO D</t>
  </si>
  <si>
    <t>AREA</t>
  </si>
  <si>
    <t>BLOCO C SERVIÇO</t>
  </si>
  <si>
    <t>BLOCO G LATERAL E FUNDOS</t>
  </si>
  <si>
    <t>REFEITORIO / BLOCO G FRONTAL</t>
  </si>
  <si>
    <t>BLOCO B FUNDOS E CENTRAL</t>
  </si>
  <si>
    <t>BLOCO J / I</t>
  </si>
  <si>
    <t>CALCADA LATERAL GUARITA</t>
  </si>
  <si>
    <t>MEIO FIO ESTACIONAMENTO NA LATERAL</t>
  </si>
  <si>
    <t>GUIA (MEIO-FIO) CONCRETO, MOLDADA IN LOCO EM TRECHO RETO COM EXTRUSO RA, 15 CM BASE X 30 CM ALTURA. AF_01/2024</t>
  </si>
  <si>
    <t>REVESTIMENTO CERÂMICO PARA PISO COM PLACAS TIPO ESMALTADA DE DIMENSÕES 45X45 CM APLICADA EM AMBIENTES DE ÁREA MENOR QUE 5 M2. AF_02/2023_PE</t>
  </si>
  <si>
    <t>REVESTIMENTO CERÂMICO PARA PISO COM PLACAS TIPO ESMALTADA DE DIMENSÕES 45X45 CM APLICADA EM AMBIENTES DE ÁREA ENTRE 5 M2 E 10 M2. AF_02/2023_PE</t>
  </si>
  <si>
    <t>REVESTIMENTO CERÂMICO PARA PISO COM PLACAS TIPO ESMALTADA DE DIMENSÕES 45X45 CM APLICADA EM AMBIENTES DE ÁREA MAIOR QUE 10 M2. AF_02/2023_PE</t>
  </si>
  <si>
    <t>CIRCULACAO ENTRE ARQUIBANCADA E DELIMITAÇAO DA QUADRA</t>
  </si>
  <si>
    <t>12.1</t>
  </si>
  <si>
    <t>CONTRAPISO EM ARGAMASSA TRAÇO 1:4 (CIMENTO E AREIA), PREPARO MECÂNICO COM BETONEIRA 400 L, APLICADO EM ÁREAS SECAS SOBRE LAJE, ADERIDO, ACABAMENTO NÃO REFORÇADO, ESPESSURA 3CM. AF_07/2021</t>
  </si>
  <si>
    <t>EXECUÇÃO DE SARJETA DE CONCRETO USINADO, MOLDADA IN LOCO EM TRECHO RETO, 30 CM BASE X 15 CM ALTURA. AF_01/2024</t>
  </si>
  <si>
    <t>ESTACIONAMENTO FRONTAL</t>
  </si>
  <si>
    <t>AO REDOR ESTACIONAMENTO LATERAL</t>
  </si>
  <si>
    <t>ESTACIONAMENTO CENTRAL FILEIRA 01 DE VAGAS</t>
  </si>
  <si>
    <t>ESTACIONAMENTO CENTRAL FILEIRA 02 DE VAGAS</t>
  </si>
  <si>
    <t>LASTRO COM MATERIAL GRANULAR (PEDRA BRITADA N.1 E PEDRA BRITADA N.2),APLICADO EM PISOS OU LAJES SOBRE SOLO, ESPESSURA DE *10 CM*. AF_01/2024</t>
  </si>
  <si>
    <t>AREA DE PISO X ESP. DE 10 CM=</t>
  </si>
  <si>
    <t>COMPACTAÇÃO MECÂNICA DE SOLO PARA EXECUÇÃO DE RADIER, PISO DE CONCRETO OU LAJE SOBRE SOLO, COM COMPACTADOR DE SOLOS A PERCUSSÃO. AF_09/2021</t>
  </si>
  <si>
    <t>AREA DA QUADRA PINTADA</t>
  </si>
  <si>
    <t>LASTRO DE CONCRETO MAGRO, APLICADO EM PISOS, LAJES SOBRE SOLO OU RADIERS, ESPESSURA DE 5 CM. AF_01/2024</t>
  </si>
  <si>
    <t>CAMADA SEPARADORA PARA EXECUÇÃO DE RADIER, PISO DE CONCRETO OU LAJE SOBRE SOLO, EM LONA PLÁSTICA. AF_09/2021</t>
  </si>
  <si>
    <t>FABRICAÇÃO, MONTAGEM E DESMONTAGEM DE FORMA PARA RADIER, PISO DE CONCRETO OU LAJE SOBRE SOLO, EM MADEIRA SERRADA, 4 UTILIZAÇÕES. AF_09/2021</t>
  </si>
  <si>
    <t>1,48 KG/M2 TELA Q-92 X AREA</t>
  </si>
  <si>
    <t>CP-97096-65712011</t>
  </si>
  <si>
    <t>CONCRETAGEM DE RADIER, PISO DE CONCRETO OU LAJE SOBRE SOLO, FCK 25 MPA - LANÇAMENTO, ADENSAMENTO E ACABAMENTO. AF_09/2021</t>
  </si>
  <si>
    <t>AREA X ESP DE 10 CM</t>
  </si>
  <si>
    <t>ACABAMENTO POLIDO PARA PISO DE CONCRETO ARMADO OU LAJE SOBRE SOLO DE ALTA RESISTÊNCIA. AF_09/2021</t>
  </si>
  <si>
    <t xml:space="preserve">L X C = 44,2 X 24,2 </t>
  </si>
  <si>
    <t>CONSUMO DE GRAXA SEGUNDO SINAPI 103913 0,0444KG DE GRAXA PARA CADA KG DE BARRA DE TRANSFERENCIA</t>
  </si>
  <si>
    <t>BARRAS DE TRANSFERÊNCIA, AÇO CA-25 DE 16,0 MM, PARA EXECUÇÃO DE PAVIMENTO DE CONCRETO - FORNECIMENTO E INSTALAÇÃO. AF_04/2022</t>
  </si>
  <si>
    <t>APLICAÇÃO DE GRAXA EM BARRAS DE TRANSFERÊNCIA PARA EXECUÇÃO DE PAVIMENTO DE CONCRETO. AF_04/2022</t>
  </si>
  <si>
    <t>BARRAS A CADA 30 CM COM COMPRIMENTO DE 35 CM</t>
  </si>
  <si>
    <t>TRATAMENTO DE JUNTA DE DILATAÇÃO, COM TARUGO DE POLIETILENO E SELANTE PU, INCLUSO PREENCHIMENTO COM ESPUMA EXPANSIVA PU. AF_09/2023</t>
  </si>
  <si>
    <t>DILATACAO DA QUADRA</t>
  </si>
  <si>
    <t>L X C = 44 X 24</t>
  </si>
  <si>
    <t>(44 X 5) + (24 X 5)</t>
  </si>
  <si>
    <t>EXECUCAO DAS PLACAS EM  TAMANHOS 11 X 6 M ESP 10 CM</t>
  </si>
  <si>
    <t>FALTA AJEITAR AS COMPOSICOES</t>
  </si>
  <si>
    <t xml:space="preserve">FORRO EM DRYWALL COM PLACA VERDE (UMIDADE), PARA AMBIENTES COMERCIAIS, INCLUSIVE ESTRUTURA DE FIXAÇÃO. AF_05/2017_PS	</t>
  </si>
  <si>
    <t>CP-96114-30045578</t>
  </si>
  <si>
    <t>FORRO EM DRYWALL RESISTENTE AO FOGO, PARA AMBIENTES COMERCIAIS, INCLUSIVE ESTRUTURA BIRECIONAL DE FIXAÇÃO. AF_08/2023_PS.ATUALIZADA 03/2024</t>
  </si>
  <si>
    <t>CP-96114-15648485</t>
  </si>
  <si>
    <t>modificar composiçao com base na 104757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</si>
</sst>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"/>
    <numFmt numFmtId="165" formatCode="0.000%"/>
    <numFmt numFmtId="166" formatCode="#,##0.000000"/>
    <numFmt numFmtId="167" formatCode="d\.m"/>
    <numFmt numFmtId="168" formatCode="0.0000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0"/>
      <color rgb="FF000000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</font>
    <font>
      <b/>
      <i/>
      <sz val="11"/>
      <color theme="1"/>
      <name val="Arial Narrow"/>
      <family val="2"/>
    </font>
    <font>
      <i/>
      <sz val="8"/>
      <color rgb="FF00000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i/>
      <sz val="10"/>
      <color theme="1"/>
      <name val="Arial"/>
      <family val="2"/>
    </font>
    <font>
      <b/>
      <sz val="7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8"/>
      <color rgb="FF000000"/>
      <name val="Courie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Verdana"/>
      <family val="2"/>
    </font>
    <font>
      <b/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i/>
      <sz val="9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rgb="FFE6E6E6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theme="9"/>
        <bgColor theme="9"/>
      </patternFill>
    </fill>
    <fill>
      <patternFill patternType="solid">
        <fgColor rgb="FFFF0000"/>
        <bgColor rgb="FFFF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rgb="FF000000"/>
      </right>
      <top style="double">
        <color indexed="64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 style="double">
        <color indexed="64"/>
      </top>
      <bottom style="hair">
        <color rgb="FF000000"/>
      </bottom>
      <diagonal/>
    </border>
    <border>
      <left/>
      <right/>
      <top style="double">
        <color indexed="64"/>
      </top>
      <bottom style="hair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indexed="64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/>
      <top style="double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double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double">
        <color indexed="64"/>
      </bottom>
      <diagonal/>
    </border>
    <border>
      <left style="hair">
        <color indexed="64"/>
      </left>
      <right style="thin">
        <color rgb="FF000000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3" fillId="0" borderId="25"/>
    <xf numFmtId="9" fontId="37" fillId="0" borderId="0" applyFont="0" applyFill="0" applyBorder="0" applyAlignment="0" applyProtection="0"/>
  </cellStyleXfs>
  <cellXfs count="642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14" fontId="7" fillId="0" borderId="0" xfId="0" quotePrefix="1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1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6" fillId="0" borderId="0" xfId="0" applyFont="1"/>
    <xf numFmtId="0" fontId="14" fillId="0" borderId="0" xfId="0" applyFont="1"/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164" fontId="14" fillId="2" borderId="8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5" fillId="0" borderId="0" xfId="0" applyFont="1"/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left" vertical="center" wrapText="1"/>
    </xf>
    <xf numFmtId="164" fontId="14" fillId="4" borderId="6" xfId="0" applyNumberFormat="1" applyFont="1" applyFill="1" applyBorder="1" applyAlignment="1">
      <alignment vertical="center"/>
    </xf>
    <xf numFmtId="10" fontId="14" fillId="4" borderId="6" xfId="0" applyNumberFormat="1" applyFont="1" applyFill="1" applyBorder="1" applyAlignment="1">
      <alignment horizontal="right" vertical="center"/>
    </xf>
    <xf numFmtId="10" fontId="15" fillId="0" borderId="0" xfId="0" applyNumberFormat="1" applyFont="1"/>
    <xf numFmtId="164" fontId="15" fillId="0" borderId="0" xfId="0" applyNumberFormat="1" applyFo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vertical="center"/>
    </xf>
    <xf numFmtId="10" fontId="14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15" fillId="7" borderId="12" xfId="0" applyFont="1" applyFill="1" applyBorder="1"/>
    <xf numFmtId="0" fontId="6" fillId="7" borderId="12" xfId="0" applyFont="1" applyFill="1" applyBorder="1"/>
    <xf numFmtId="0" fontId="14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 vertical="center" wrapText="1"/>
    </xf>
    <xf numFmtId="164" fontId="14" fillId="7" borderId="6" xfId="0" applyNumberFormat="1" applyFont="1" applyFill="1" applyBorder="1" applyAlignment="1">
      <alignment vertical="center"/>
    </xf>
    <xf numFmtId="10" fontId="14" fillId="7" borderId="6" xfId="0" applyNumberFormat="1" applyFont="1" applyFill="1" applyBorder="1" applyAlignment="1">
      <alignment horizontal="right" vertical="center"/>
    </xf>
    <xf numFmtId="0" fontId="10" fillId="7" borderId="12" xfId="0" applyFont="1" applyFill="1" applyBorder="1"/>
    <xf numFmtId="10" fontId="15" fillId="7" borderId="12" xfId="0" applyNumberFormat="1" applyFont="1" applyFill="1" applyBorder="1"/>
    <xf numFmtId="164" fontId="15" fillId="7" borderId="12" xfId="0" applyNumberFormat="1" applyFont="1" applyFill="1" applyBorder="1"/>
    <xf numFmtId="0" fontId="15" fillId="4" borderId="12" xfId="0" applyFont="1" applyFill="1" applyBorder="1"/>
    <xf numFmtId="0" fontId="6" fillId="4" borderId="12" xfId="0" applyFont="1" applyFill="1" applyBorder="1"/>
    <xf numFmtId="0" fontId="10" fillId="4" borderId="12" xfId="0" applyFont="1" applyFill="1" applyBorder="1"/>
    <xf numFmtId="10" fontId="15" fillId="4" borderId="12" xfId="0" applyNumberFormat="1" applyFont="1" applyFill="1" applyBorder="1"/>
    <xf numFmtId="164" fontId="15" fillId="4" borderId="12" xfId="0" applyNumberFormat="1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64" fontId="14" fillId="0" borderId="1" xfId="0" applyNumberFormat="1" applyFont="1" applyBorder="1" applyAlignment="1">
      <alignment horizontal="center"/>
    </xf>
    <xf numFmtId="10" fontId="14" fillId="0" borderId="1" xfId="0" applyNumberFormat="1" applyFont="1" applyBorder="1"/>
    <xf numFmtId="165" fontId="14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0" fillId="0" borderId="13" xfId="0" applyFont="1" applyBorder="1" applyAlignment="1">
      <alignment horizontal="right" vertical="top" wrapText="1"/>
    </xf>
    <xf numFmtId="0" fontId="10" fillId="0" borderId="13" xfId="0" applyFont="1" applyBorder="1" applyAlignment="1">
      <alignment horizontal="center" vertical="top"/>
    </xf>
    <xf numFmtId="0" fontId="10" fillId="0" borderId="0" xfId="0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/>
    </xf>
    <xf numFmtId="0" fontId="9" fillId="4" borderId="14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center" vertical="top" wrapText="1"/>
    </xf>
    <xf numFmtId="166" fontId="10" fillId="4" borderId="14" xfId="0" applyNumberFormat="1" applyFont="1" applyFill="1" applyBorder="1" applyAlignment="1">
      <alignment horizontal="right" vertical="top" wrapText="1"/>
    </xf>
    <xf numFmtId="4" fontId="10" fillId="4" borderId="14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horizontal="righ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166" fontId="10" fillId="0" borderId="14" xfId="0" applyNumberFormat="1" applyFont="1" applyBorder="1" applyAlignment="1">
      <alignment horizontal="right" vertical="top" wrapText="1"/>
    </xf>
    <xf numFmtId="4" fontId="10" fillId="0" borderId="14" xfId="0" applyNumberFormat="1" applyFont="1" applyBorder="1" applyAlignment="1">
      <alignment horizontal="right" vertical="top" wrapText="1"/>
    </xf>
    <xf numFmtId="4" fontId="10" fillId="4" borderId="14" xfId="0" applyNumberFormat="1" applyFont="1" applyFill="1" applyBorder="1" applyAlignment="1">
      <alignment horizontal="right" vertical="top"/>
    </xf>
    <xf numFmtId="4" fontId="9" fillId="4" borderId="14" xfId="0" applyNumberFormat="1" applyFont="1" applyFill="1" applyBorder="1" applyAlignment="1">
      <alignment horizontal="right" vertical="top"/>
    </xf>
    <xf numFmtId="4" fontId="10" fillId="8" borderId="14" xfId="0" applyNumberFormat="1" applyFont="1" applyFill="1" applyBorder="1" applyAlignment="1">
      <alignment horizontal="right" vertical="top"/>
    </xf>
    <xf numFmtId="4" fontId="9" fillId="9" borderId="14" xfId="0" applyNumberFormat="1" applyFont="1" applyFill="1" applyBorder="1" applyAlignment="1">
      <alignment horizontal="right" vertical="top"/>
    </xf>
    <xf numFmtId="0" fontId="10" fillId="4" borderId="14" xfId="0" applyFont="1" applyFill="1" applyBorder="1" applyAlignment="1">
      <alignment horizontal="right" vertical="top"/>
    </xf>
    <xf numFmtId="4" fontId="9" fillId="9" borderId="21" xfId="0" applyNumberFormat="1" applyFont="1" applyFill="1" applyBorder="1" applyAlignment="1">
      <alignment horizontal="right" vertical="top"/>
    </xf>
    <xf numFmtId="0" fontId="12" fillId="0" borderId="0" xfId="0" applyFont="1"/>
    <xf numFmtId="0" fontId="12" fillId="2" borderId="2" xfId="0" applyFont="1" applyFill="1" applyBorder="1"/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right"/>
    </xf>
    <xf numFmtId="164" fontId="12" fillId="2" borderId="1" xfId="0" applyNumberFormat="1" applyFont="1" applyFill="1" applyBorder="1"/>
    <xf numFmtId="0" fontId="17" fillId="10" borderId="12" xfId="0" applyFont="1" applyFill="1" applyBorder="1"/>
    <xf numFmtId="0" fontId="17" fillId="10" borderId="12" xfId="0" applyFont="1" applyFill="1" applyBorder="1" applyAlignment="1">
      <alignment horizontal="center" vertical="center"/>
    </xf>
    <xf numFmtId="0" fontId="22" fillId="0" borderId="0" xfId="0" applyFont="1"/>
    <xf numFmtId="2" fontId="19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9" fillId="4" borderId="29" xfId="0" applyFont="1" applyFill="1" applyBorder="1" applyAlignment="1">
      <alignment horizontal="center" vertical="center" wrapText="1"/>
    </xf>
    <xf numFmtId="167" fontId="19" fillId="3" borderId="2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168" fontId="26" fillId="7" borderId="1" xfId="0" applyNumberFormat="1" applyFont="1" applyFill="1" applyBorder="1" applyAlignment="1">
      <alignment horizontal="center" vertical="center" wrapText="1"/>
    </xf>
    <xf numFmtId="0" fontId="22" fillId="7" borderId="12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/>
    <xf numFmtId="0" fontId="24" fillId="10" borderId="12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5" fillId="0" borderId="0" xfId="0" applyNumberFormat="1" applyFont="1" applyAlignment="1">
      <alignment vertical="center" wrapText="1"/>
    </xf>
    <xf numFmtId="2" fontId="25" fillId="0" borderId="0" xfId="0" applyNumberFormat="1" applyFont="1" applyAlignment="1">
      <alignment horizontal="left" vertical="center" wrapText="1"/>
    </xf>
    <xf numFmtId="0" fontId="28" fillId="7" borderId="12" xfId="0" applyFont="1" applyFill="1" applyBorder="1" applyAlignment="1">
      <alignment vertical="center"/>
    </xf>
    <xf numFmtId="0" fontId="27" fillId="7" borderId="12" xfId="0" applyFont="1" applyFill="1" applyBorder="1"/>
    <xf numFmtId="0" fontId="30" fillId="0" borderId="0" xfId="0" applyFont="1"/>
    <xf numFmtId="0" fontId="29" fillId="11" borderId="51" xfId="0" applyFont="1" applyFill="1" applyBorder="1" applyAlignment="1">
      <alignment horizontal="center" vertical="center"/>
    </xf>
    <xf numFmtId="0" fontId="29" fillId="11" borderId="52" xfId="0" applyFont="1" applyFill="1" applyBorder="1" applyAlignment="1">
      <alignment horizontal="center" vertical="center"/>
    </xf>
    <xf numFmtId="0" fontId="29" fillId="11" borderId="53" xfId="0" applyFont="1" applyFill="1" applyBorder="1" applyAlignment="1">
      <alignment horizontal="center" vertical="center"/>
    </xf>
    <xf numFmtId="0" fontId="30" fillId="0" borderId="54" xfId="0" applyFont="1" applyBorder="1" applyAlignment="1">
      <alignment vertical="center"/>
    </xf>
    <xf numFmtId="0" fontId="30" fillId="0" borderId="55" xfId="0" applyFont="1" applyBorder="1" applyAlignment="1">
      <alignment horizontal="center" vertical="center"/>
    </xf>
    <xf numFmtId="164" fontId="30" fillId="7" borderId="56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vertical="center"/>
    </xf>
    <xf numFmtId="0" fontId="30" fillId="7" borderId="58" xfId="0" applyFont="1" applyFill="1" applyBorder="1" applyAlignment="1">
      <alignment horizontal="center" vertical="center"/>
    </xf>
    <xf numFmtId="164" fontId="30" fillId="7" borderId="59" xfId="0" applyNumberFormat="1" applyFont="1" applyFill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57" xfId="0" applyFont="1" applyBorder="1" applyAlignment="1">
      <alignment vertical="center" wrapText="1"/>
    </xf>
    <xf numFmtId="164" fontId="30" fillId="7" borderId="59" xfId="0" applyNumberFormat="1" applyFont="1" applyFill="1" applyBorder="1" applyAlignment="1">
      <alignment vertical="center"/>
    </xf>
    <xf numFmtId="164" fontId="30" fillId="0" borderId="59" xfId="0" applyNumberFormat="1" applyFont="1" applyBorder="1" applyAlignment="1">
      <alignment vertical="center"/>
    </xf>
    <xf numFmtId="0" fontId="30" fillId="0" borderId="60" xfId="0" applyFont="1" applyBorder="1" applyAlignment="1">
      <alignment vertical="center"/>
    </xf>
    <xf numFmtId="0" fontId="30" fillId="0" borderId="61" xfId="0" applyFont="1" applyBorder="1" applyAlignment="1">
      <alignment horizontal="center" vertical="center"/>
    </xf>
    <xf numFmtId="164" fontId="30" fillId="0" borderId="62" xfId="0" applyNumberFormat="1" applyFont="1" applyBorder="1" applyAlignment="1">
      <alignment vertical="center"/>
    </xf>
    <xf numFmtId="0" fontId="21" fillId="0" borderId="0" xfId="0" applyFont="1"/>
    <xf numFmtId="0" fontId="21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65" xfId="0" applyFont="1" applyBorder="1" applyAlignment="1">
      <alignment horizontal="center"/>
    </xf>
    <xf numFmtId="0" fontId="31" fillId="10" borderId="66" xfId="0" applyFont="1" applyFill="1" applyBorder="1"/>
    <xf numFmtId="0" fontId="21" fillId="0" borderId="67" xfId="0" applyFont="1" applyBorder="1"/>
    <xf numFmtId="0" fontId="21" fillId="0" borderId="63" xfId="0" applyFont="1" applyBorder="1"/>
    <xf numFmtId="0" fontId="21" fillId="0" borderId="64" xfId="0" applyFont="1" applyBorder="1"/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0" fontId="24" fillId="10" borderId="66" xfId="0" applyFont="1" applyFill="1" applyBorder="1" applyAlignment="1">
      <alignment vertical="center"/>
    </xf>
    <xf numFmtId="0" fontId="24" fillId="10" borderId="69" xfId="0" applyFont="1" applyFill="1" applyBorder="1" applyAlignment="1">
      <alignment vertical="center"/>
    </xf>
    <xf numFmtId="0" fontId="31" fillId="0" borderId="0" xfId="0" applyFont="1"/>
    <xf numFmtId="0" fontId="35" fillId="4" borderId="70" xfId="0" applyFont="1" applyFill="1" applyBorder="1" applyAlignment="1">
      <alignment horizontal="center" vertical="center"/>
    </xf>
    <xf numFmtId="0" fontId="35" fillId="4" borderId="71" xfId="0" applyFont="1" applyFill="1" applyBorder="1" applyAlignment="1">
      <alignment horizontal="center" vertical="center"/>
    </xf>
    <xf numFmtId="0" fontId="35" fillId="4" borderId="72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 wrapText="1"/>
    </xf>
    <xf numFmtId="0" fontId="22" fillId="0" borderId="74" xfId="0" applyFont="1" applyBorder="1" applyAlignment="1">
      <alignment wrapText="1"/>
    </xf>
    <xf numFmtId="0" fontId="22" fillId="0" borderId="74" xfId="0" applyFont="1" applyBorder="1" applyAlignment="1">
      <alignment horizontal="center" vertical="center" wrapText="1"/>
    </xf>
    <xf numFmtId="2" fontId="22" fillId="12" borderId="75" xfId="0" applyNumberFormat="1" applyFont="1" applyFill="1" applyBorder="1" applyAlignment="1">
      <alignment horizontal="right" vertical="center" wrapText="1"/>
    </xf>
    <xf numFmtId="0" fontId="22" fillId="0" borderId="76" xfId="0" applyFont="1" applyBorder="1" applyAlignment="1">
      <alignment horizontal="center" vertical="center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center" vertical="center"/>
    </xf>
    <xf numFmtId="2" fontId="22" fillId="12" borderId="77" xfId="0" applyNumberFormat="1" applyFont="1" applyFill="1" applyBorder="1" applyAlignment="1">
      <alignment horizontal="right" vertical="center"/>
    </xf>
    <xf numFmtId="0" fontId="22" fillId="0" borderId="76" xfId="0" applyFont="1" applyBorder="1" applyAlignment="1">
      <alignment horizontal="center" vertical="center" wrapText="1"/>
    </xf>
    <xf numFmtId="164" fontId="22" fillId="12" borderId="77" xfId="0" applyNumberFormat="1" applyFont="1" applyFill="1" applyBorder="1" applyAlignment="1">
      <alignment horizontal="right" vertical="center"/>
    </xf>
    <xf numFmtId="0" fontId="22" fillId="0" borderId="78" xfId="0" applyFont="1" applyBorder="1" applyAlignment="1">
      <alignment horizontal="center" vertical="center" wrapText="1"/>
    </xf>
    <xf numFmtId="0" fontId="22" fillId="0" borderId="79" xfId="0" applyFont="1" applyBorder="1" applyAlignment="1">
      <alignment wrapText="1"/>
    </xf>
    <xf numFmtId="0" fontId="22" fillId="0" borderId="79" xfId="0" applyFont="1" applyBorder="1" applyAlignment="1">
      <alignment horizontal="center" vertical="center"/>
    </xf>
    <xf numFmtId="2" fontId="22" fillId="12" borderId="80" xfId="0" applyNumberFormat="1" applyFont="1" applyFill="1" applyBorder="1" applyAlignment="1">
      <alignment horizontal="right" vertical="center"/>
    </xf>
    <xf numFmtId="0" fontId="22" fillId="0" borderId="16" xfId="0" applyFont="1" applyBorder="1" applyAlignment="1">
      <alignment wrapText="1"/>
    </xf>
    <xf numFmtId="164" fontId="22" fillId="12" borderId="81" xfId="0" applyNumberFormat="1" applyFont="1" applyFill="1" applyBorder="1"/>
    <xf numFmtId="0" fontId="22" fillId="0" borderId="82" xfId="0" applyFont="1" applyBorder="1" applyAlignment="1">
      <alignment horizontal="center" vertical="center"/>
    </xf>
    <xf numFmtId="0" fontId="22" fillId="0" borderId="50" xfId="0" applyFont="1" applyBorder="1" applyAlignment="1">
      <alignment wrapText="1"/>
    </xf>
    <xf numFmtId="0" fontId="22" fillId="0" borderId="83" xfId="0" applyFont="1" applyBorder="1" applyAlignment="1">
      <alignment horizontal="center" vertical="center"/>
    </xf>
    <xf numFmtId="164" fontId="22" fillId="12" borderId="84" xfId="0" applyNumberFormat="1" applyFont="1" applyFill="1" applyBorder="1"/>
    <xf numFmtId="0" fontId="35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2" fillId="0" borderId="70" xfId="0" applyFont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22" fillId="0" borderId="72" xfId="0" applyFont="1" applyBorder="1" applyAlignment="1">
      <alignment horizontal="center"/>
    </xf>
    <xf numFmtId="0" fontId="22" fillId="3" borderId="97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2" fontId="22" fillId="3" borderId="98" xfId="0" applyNumberFormat="1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/>
    </xf>
    <xf numFmtId="0" fontId="22" fillId="3" borderId="76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2" fontId="22" fillId="3" borderId="77" xfId="0" applyNumberFormat="1" applyFont="1" applyFill="1" applyBorder="1" applyAlignment="1">
      <alignment horizontal="center"/>
    </xf>
    <xf numFmtId="0" fontId="22" fillId="4" borderId="76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77" xfId="0" applyFont="1" applyFill="1" applyBorder="1" applyAlignment="1">
      <alignment horizontal="center"/>
    </xf>
    <xf numFmtId="0" fontId="22" fillId="2" borderId="76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7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02" xfId="0" applyFont="1" applyBorder="1" applyAlignment="1">
      <alignment horizontal="center"/>
    </xf>
    <xf numFmtId="0" fontId="22" fillId="0" borderId="103" xfId="0" applyFont="1" applyBorder="1"/>
    <xf numFmtId="0" fontId="22" fillId="13" borderId="97" xfId="0" applyFont="1" applyFill="1" applyBorder="1" applyAlignment="1">
      <alignment horizontal="center"/>
    </xf>
    <xf numFmtId="0" fontId="22" fillId="13" borderId="4" xfId="0" applyFont="1" applyFill="1" applyBorder="1" applyAlignment="1">
      <alignment horizontal="center"/>
    </xf>
    <xf numFmtId="2" fontId="22" fillId="13" borderId="98" xfId="0" applyNumberFormat="1" applyFont="1" applyFill="1" applyBorder="1" applyAlignment="1">
      <alignment horizontal="center"/>
    </xf>
    <xf numFmtId="0" fontId="22" fillId="13" borderId="76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2" fontId="22" fillId="13" borderId="77" xfId="0" applyNumberFormat="1" applyFont="1" applyFill="1" applyBorder="1" applyAlignment="1">
      <alignment horizontal="center"/>
    </xf>
    <xf numFmtId="0" fontId="22" fillId="14" borderId="76" xfId="0" applyFont="1" applyFill="1" applyBorder="1" applyAlignment="1">
      <alignment horizontal="center"/>
    </xf>
    <xf numFmtId="0" fontId="22" fillId="14" borderId="5" xfId="0" applyFont="1" applyFill="1" applyBorder="1" applyAlignment="1">
      <alignment horizontal="center"/>
    </xf>
    <xf numFmtId="2" fontId="22" fillId="14" borderId="77" xfId="0" applyNumberFormat="1" applyFont="1" applyFill="1" applyBorder="1" applyAlignment="1">
      <alignment horizontal="center"/>
    </xf>
    <xf numFmtId="2" fontId="22" fillId="0" borderId="102" xfId="0" applyNumberFormat="1" applyFont="1" applyBorder="1" applyAlignment="1">
      <alignment horizontal="center"/>
    </xf>
    <xf numFmtId="0" fontId="22" fillId="0" borderId="75" xfId="0" applyFont="1" applyBorder="1"/>
    <xf numFmtId="0" fontId="22" fillId="0" borderId="102" xfId="0" applyFont="1" applyBorder="1"/>
    <xf numFmtId="0" fontId="22" fillId="15" borderId="12" xfId="0" applyFont="1" applyFill="1" applyBorder="1"/>
    <xf numFmtId="0" fontId="22" fillId="6" borderId="12" xfId="0" applyFont="1" applyFill="1" applyBorder="1"/>
    <xf numFmtId="0" fontId="9" fillId="5" borderId="107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center" vertical="top" wrapText="1"/>
    </xf>
    <xf numFmtId="166" fontId="10" fillId="5" borderId="14" xfId="0" applyNumberFormat="1" applyFont="1" applyFill="1" applyBorder="1" applyAlignment="1">
      <alignment horizontal="right" vertical="top" wrapText="1"/>
    </xf>
    <xf numFmtId="4" fontId="10" fillId="5" borderId="14" xfId="0" applyNumberFormat="1" applyFont="1" applyFill="1" applyBorder="1" applyAlignment="1">
      <alignment horizontal="right" vertical="top" wrapText="1"/>
    </xf>
    <xf numFmtId="4" fontId="10" fillId="5" borderId="108" xfId="0" applyNumberFormat="1" applyFont="1" applyFill="1" applyBorder="1" applyAlignment="1">
      <alignment horizontal="right" vertical="top" wrapText="1"/>
    </xf>
    <xf numFmtId="0" fontId="10" fillId="5" borderId="107" xfId="0" applyFont="1" applyFill="1" applyBorder="1" applyAlignment="1">
      <alignment horizontal="righ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center" vertical="top" wrapText="1"/>
    </xf>
    <xf numFmtId="0" fontId="37" fillId="0" borderId="0" xfId="0" applyFont="1"/>
    <xf numFmtId="0" fontId="9" fillId="12" borderId="107" xfId="0" applyFont="1" applyFill="1" applyBorder="1" applyAlignment="1">
      <alignment horizontal="left" vertical="top" wrapText="1"/>
    </xf>
    <xf numFmtId="0" fontId="9" fillId="12" borderId="14" xfId="0" applyFont="1" applyFill="1" applyBorder="1" applyAlignment="1">
      <alignment horizontal="left" vertical="top" wrapText="1"/>
    </xf>
    <xf numFmtId="0" fontId="9" fillId="12" borderId="14" xfId="0" applyFont="1" applyFill="1" applyBorder="1" applyAlignment="1">
      <alignment horizontal="center" vertical="top" wrapText="1"/>
    </xf>
    <xf numFmtId="166" fontId="10" fillId="12" borderId="14" xfId="0" applyNumberFormat="1" applyFont="1" applyFill="1" applyBorder="1" applyAlignment="1">
      <alignment horizontal="right" vertical="top" wrapText="1"/>
    </xf>
    <xf numFmtId="4" fontId="10" fillId="12" borderId="14" xfId="0" applyNumberFormat="1" applyFont="1" applyFill="1" applyBorder="1" applyAlignment="1">
      <alignment horizontal="right" vertical="top" wrapText="1"/>
    </xf>
    <xf numFmtId="4" fontId="10" fillId="12" borderId="108" xfId="0" applyNumberFormat="1" applyFont="1" applyFill="1" applyBorder="1" applyAlignment="1">
      <alignment horizontal="right" vertical="top" wrapText="1"/>
    </xf>
    <xf numFmtId="0" fontId="10" fillId="12" borderId="107" xfId="0" applyFont="1" applyFill="1" applyBorder="1" applyAlignment="1">
      <alignment horizontal="right" vertical="top" wrapText="1"/>
    </xf>
    <xf numFmtId="0" fontId="10" fillId="12" borderId="14" xfId="0" applyFont="1" applyFill="1" applyBorder="1" applyAlignment="1">
      <alignment horizontal="left" vertical="top" wrapText="1"/>
    </xf>
    <xf numFmtId="0" fontId="10" fillId="12" borderId="14" xfId="0" applyFont="1" applyFill="1" applyBorder="1" applyAlignment="1">
      <alignment horizontal="center" vertical="top" wrapText="1"/>
    </xf>
    <xf numFmtId="0" fontId="10" fillId="6" borderId="107" xfId="0" applyFont="1" applyFill="1" applyBorder="1" applyAlignment="1">
      <alignment horizontal="right" vertical="top" wrapText="1"/>
    </xf>
    <xf numFmtId="0" fontId="10" fillId="6" borderId="14" xfId="0" applyFont="1" applyFill="1" applyBorder="1" applyAlignment="1">
      <alignment horizontal="left" vertical="top" wrapText="1"/>
    </xf>
    <xf numFmtId="4" fontId="10" fillId="6" borderId="14" xfId="0" applyNumberFormat="1" applyFont="1" applyFill="1" applyBorder="1" applyAlignment="1">
      <alignment horizontal="right" vertical="top" wrapText="1"/>
    </xf>
    <xf numFmtId="0" fontId="9" fillId="16" borderId="107" xfId="0" applyFont="1" applyFill="1" applyBorder="1" applyAlignment="1">
      <alignment horizontal="left" vertical="top" wrapText="1"/>
    </xf>
    <xf numFmtId="0" fontId="9" fillId="16" borderId="14" xfId="0" applyFont="1" applyFill="1" applyBorder="1" applyAlignment="1">
      <alignment horizontal="left" vertical="top" wrapText="1"/>
    </xf>
    <xf numFmtId="0" fontId="9" fillId="16" borderId="14" xfId="0" applyFont="1" applyFill="1" applyBorder="1" applyAlignment="1">
      <alignment horizontal="center" vertical="top" wrapText="1"/>
    </xf>
    <xf numFmtId="166" fontId="10" fillId="16" borderId="14" xfId="0" applyNumberFormat="1" applyFont="1" applyFill="1" applyBorder="1" applyAlignment="1">
      <alignment horizontal="right" vertical="top" wrapText="1"/>
    </xf>
    <xf numFmtId="4" fontId="10" fillId="16" borderId="14" xfId="0" applyNumberFormat="1" applyFont="1" applyFill="1" applyBorder="1" applyAlignment="1">
      <alignment horizontal="right" vertical="top" wrapText="1"/>
    </xf>
    <xf numFmtId="4" fontId="10" fillId="16" borderId="108" xfId="0" applyNumberFormat="1" applyFont="1" applyFill="1" applyBorder="1" applyAlignment="1">
      <alignment horizontal="right" vertical="top" wrapText="1"/>
    </xf>
    <xf numFmtId="0" fontId="10" fillId="16" borderId="107" xfId="0" applyFont="1" applyFill="1" applyBorder="1" applyAlignment="1">
      <alignment horizontal="right" vertical="top" wrapText="1"/>
    </xf>
    <xf numFmtId="0" fontId="10" fillId="16" borderId="14" xfId="0" applyFont="1" applyFill="1" applyBorder="1" applyAlignment="1">
      <alignment horizontal="left" vertical="top" wrapText="1"/>
    </xf>
    <xf numFmtId="0" fontId="10" fillId="16" borderId="14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0" fontId="25" fillId="0" borderId="39" xfId="0" applyFont="1" applyFill="1" applyBorder="1" applyAlignment="1">
      <alignment horizontal="right" vertical="center" wrapText="1"/>
    </xf>
    <xf numFmtId="0" fontId="17" fillId="10" borderId="12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17" fillId="0" borderId="22" xfId="0" applyFont="1" applyFill="1" applyBorder="1" applyAlignment="1">
      <alignment horizontal="center" vertical="center" wrapText="1"/>
    </xf>
    <xf numFmtId="0" fontId="11" fillId="0" borderId="40" xfId="0" applyFont="1" applyFill="1" applyBorder="1"/>
    <xf numFmtId="0" fontId="11" fillId="0" borderId="41" xfId="0" applyFont="1" applyFill="1" applyBorder="1"/>
    <xf numFmtId="0" fontId="17" fillId="0" borderId="4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5" fillId="0" borderId="36" xfId="0" applyFont="1" applyFill="1" applyBorder="1" applyAlignment="1">
      <alignment vertical="center" wrapText="1"/>
    </xf>
    <xf numFmtId="0" fontId="0" fillId="0" borderId="0" xfId="0" applyFont="1" applyAlignment="1"/>
    <xf numFmtId="2" fontId="17" fillId="0" borderId="0" xfId="0" applyNumberFormat="1" applyFont="1" applyFill="1" applyAlignment="1">
      <alignment horizontal="center" vertical="center"/>
    </xf>
    <xf numFmtId="2" fontId="17" fillId="0" borderId="0" xfId="2" applyNumberFormat="1" applyFont="1" applyFill="1" applyAlignment="1">
      <alignment horizontal="center" vertical="center"/>
    </xf>
    <xf numFmtId="2" fontId="0" fillId="0" borderId="0" xfId="0" applyNumberFormat="1" applyFont="1" applyAlignment="1"/>
    <xf numFmtId="167" fontId="19" fillId="3" borderId="38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7" borderId="33" xfId="0" applyFont="1" applyFill="1" applyBorder="1" applyAlignment="1">
      <alignment horizontal="center" vertical="center" wrapText="1"/>
    </xf>
    <xf numFmtId="0" fontId="25" fillId="17" borderId="39" xfId="0" applyFont="1" applyFill="1" applyBorder="1" applyAlignment="1">
      <alignment horizontal="right" vertical="center" wrapText="1"/>
    </xf>
    <xf numFmtId="0" fontId="17" fillId="17" borderId="40" xfId="0" applyFont="1" applyFill="1" applyBorder="1" applyAlignment="1">
      <alignment horizontal="center" vertical="center" wrapText="1"/>
    </xf>
    <xf numFmtId="0" fontId="11" fillId="17" borderId="40" xfId="0" applyFont="1" applyFill="1" applyBorder="1"/>
    <xf numFmtId="0" fontId="11" fillId="17" borderId="41" xfId="0" applyFont="1" applyFill="1" applyBorder="1"/>
    <xf numFmtId="2" fontId="24" fillId="17" borderId="36" xfId="0" applyNumberFormat="1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5" fillId="0" borderId="25" xfId="0" applyFont="1" applyFill="1" applyBorder="1" applyAlignment="1">
      <alignment vertical="center" wrapText="1"/>
    </xf>
    <xf numFmtId="0" fontId="25" fillId="0" borderId="25" xfId="0" applyFont="1" applyFill="1" applyBorder="1" applyAlignment="1">
      <alignment horizontal="right" vertical="center" wrapText="1"/>
    </xf>
    <xf numFmtId="0" fontId="11" fillId="0" borderId="25" xfId="0" applyFont="1" applyFill="1" applyBorder="1"/>
    <xf numFmtId="2" fontId="24" fillId="0" borderId="25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8" fontId="0" fillId="0" borderId="0" xfId="0" applyNumberFormat="1" applyFont="1" applyAlignment="1"/>
    <xf numFmtId="0" fontId="0" fillId="0" borderId="0" xfId="0" applyFont="1" applyAlignment="1"/>
    <xf numFmtId="2" fontId="17" fillId="0" borderId="25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7" fillId="0" borderId="0" xfId="0" applyFont="1" applyFill="1" applyAlignment="1">
      <alignment horizontal="right" vertical="center"/>
    </xf>
    <xf numFmtId="167" fontId="19" fillId="3" borderId="118" xfId="0" applyNumberFormat="1" applyFont="1" applyFill="1" applyBorder="1" applyAlignment="1">
      <alignment horizontal="center" vertical="center" wrapText="1"/>
    </xf>
    <xf numFmtId="2" fontId="17" fillId="0" borderId="0" xfId="0" applyNumberFormat="1" applyFont="1"/>
    <xf numFmtId="0" fontId="25" fillId="17" borderId="110" xfId="0" applyFont="1" applyFill="1" applyBorder="1" applyAlignment="1">
      <alignment horizontal="left" vertical="center" wrapText="1"/>
    </xf>
    <xf numFmtId="0" fontId="24" fillId="17" borderId="113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left" vertical="center" wrapText="1"/>
    </xf>
    <xf numFmtId="0" fontId="25" fillId="17" borderId="126" xfId="0" applyFont="1" applyFill="1" applyBorder="1" applyAlignment="1">
      <alignment horizontal="right" vertical="center" wrapText="1"/>
    </xf>
    <xf numFmtId="0" fontId="17" fillId="17" borderId="94" xfId="0" applyFont="1" applyFill="1" applyBorder="1" applyAlignment="1">
      <alignment horizontal="center" vertical="center" wrapText="1"/>
    </xf>
    <xf numFmtId="0" fontId="11" fillId="17" borderId="94" xfId="0" applyFont="1" applyFill="1" applyBorder="1"/>
    <xf numFmtId="0" fontId="11" fillId="17" borderId="124" xfId="0" applyFont="1" applyFill="1" applyBorder="1"/>
    <xf numFmtId="0" fontId="24" fillId="17" borderId="34" xfId="0" applyFont="1" applyFill="1" applyBorder="1" applyAlignment="1">
      <alignment horizontal="center" vertical="center" wrapText="1"/>
    </xf>
    <xf numFmtId="0" fontId="17" fillId="17" borderId="133" xfId="0" applyFont="1" applyFill="1" applyBorder="1" applyAlignment="1">
      <alignment horizontal="center" vertical="center" wrapText="1"/>
    </xf>
    <xf numFmtId="0" fontId="25" fillId="17" borderId="134" xfId="0" applyFont="1" applyFill="1" applyBorder="1" applyAlignment="1">
      <alignment horizontal="left" vertical="center" wrapText="1"/>
    </xf>
    <xf numFmtId="0" fontId="25" fillId="17" borderId="135" xfId="0" applyFont="1" applyFill="1" applyBorder="1" applyAlignment="1">
      <alignment horizontal="right" vertical="center" wrapText="1"/>
    </xf>
    <xf numFmtId="0" fontId="17" fillId="17" borderId="136" xfId="0" applyFont="1" applyFill="1" applyBorder="1" applyAlignment="1">
      <alignment horizontal="center" vertical="center" wrapText="1"/>
    </xf>
    <xf numFmtId="0" fontId="11" fillId="17" borderId="136" xfId="0" applyFont="1" applyFill="1" applyBorder="1"/>
    <xf numFmtId="0" fontId="11" fillId="17" borderId="137" xfId="0" applyFont="1" applyFill="1" applyBorder="1"/>
    <xf numFmtId="2" fontId="24" fillId="17" borderId="138" xfId="0" applyNumberFormat="1" applyFont="1" applyFill="1" applyBorder="1" applyAlignment="1">
      <alignment horizontal="center" vertical="center" wrapText="1"/>
    </xf>
    <xf numFmtId="0" fontId="24" fillId="17" borderId="13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87" xfId="0" applyFont="1" applyFill="1" applyBorder="1" applyAlignment="1">
      <alignment vertical="center"/>
    </xf>
    <xf numFmtId="0" fontId="17" fillId="0" borderId="33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left" vertical="center" wrapText="1"/>
    </xf>
    <xf numFmtId="0" fontId="24" fillId="4" borderId="96" xfId="0" applyFont="1" applyFill="1" applyBorder="1" applyAlignment="1">
      <alignment horizontal="left" vertical="center" wrapText="1"/>
    </xf>
    <xf numFmtId="0" fontId="24" fillId="4" borderId="32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center" wrapText="1"/>
    </xf>
    <xf numFmtId="0" fontId="24" fillId="3" borderId="96" xfId="0" applyFont="1" applyFill="1" applyBorder="1" applyAlignment="1">
      <alignment horizontal="left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3" borderId="123" xfId="0" applyFont="1" applyFill="1" applyBorder="1" applyAlignment="1">
      <alignment horizontal="left" vertical="center" wrapText="1"/>
    </xf>
    <xf numFmtId="0" fontId="0" fillId="0" borderId="0" xfId="0" applyFont="1" applyAlignment="1"/>
    <xf numFmtId="2" fontId="24" fillId="0" borderId="36" xfId="0" applyNumberFormat="1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2" fontId="17" fillId="18" borderId="25" xfId="0" applyNumberFormat="1" applyFont="1" applyFill="1" applyBorder="1" applyAlignment="1">
      <alignment horizontal="right" vertical="center" wrapText="1"/>
    </xf>
    <xf numFmtId="0" fontId="25" fillId="18" borderId="46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vertical="center" wrapText="1"/>
    </xf>
    <xf numFmtId="0" fontId="17" fillId="18" borderId="16" xfId="0" applyFont="1" applyFill="1" applyBorder="1" applyAlignment="1">
      <alignment horizontal="right" vertical="center" wrapText="1"/>
    </xf>
    <xf numFmtId="0" fontId="17" fillId="18" borderId="144" xfId="0" applyFont="1" applyFill="1" applyBorder="1" applyAlignment="1">
      <alignment horizontal="right" vertical="center" wrapText="1"/>
    </xf>
    <xf numFmtId="0" fontId="17" fillId="18" borderId="14" xfId="0" applyFont="1" applyFill="1" applyBorder="1" applyAlignment="1">
      <alignment horizontal="right" vertical="center" wrapText="1"/>
    </xf>
    <xf numFmtId="2" fontId="17" fillId="18" borderId="14" xfId="0" applyNumberFormat="1" applyFont="1" applyFill="1" applyBorder="1" applyAlignment="1">
      <alignment horizontal="right" vertical="center" wrapText="1"/>
    </xf>
    <xf numFmtId="0" fontId="17" fillId="18" borderId="144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right" vertical="center"/>
    </xf>
    <xf numFmtId="0" fontId="17" fillId="18" borderId="108" xfId="0" applyFont="1" applyFill="1" applyBorder="1" applyAlignment="1">
      <alignment horizontal="center" vertical="center"/>
    </xf>
    <xf numFmtId="0" fontId="17" fillId="18" borderId="14" xfId="0" applyFont="1" applyFill="1" applyBorder="1" applyAlignment="1">
      <alignment vertical="center" wrapText="1"/>
    </xf>
    <xf numFmtId="0" fontId="17" fillId="18" borderId="116" xfId="0" applyFont="1" applyFill="1" applyBorder="1" applyAlignment="1">
      <alignment horizontal="center" vertical="center" wrapText="1"/>
    </xf>
    <xf numFmtId="2" fontId="17" fillId="18" borderId="16" xfId="0" applyNumberFormat="1" applyFont="1" applyFill="1" applyBorder="1" applyAlignment="1">
      <alignment horizontal="right" vertical="center" wrapText="1"/>
    </xf>
    <xf numFmtId="2" fontId="17" fillId="18" borderId="16" xfId="0" applyNumberFormat="1" applyFont="1" applyFill="1" applyBorder="1" applyAlignment="1">
      <alignment vertical="center" wrapText="1"/>
    </xf>
    <xf numFmtId="0" fontId="25" fillId="18" borderId="4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7" fillId="18" borderId="19" xfId="0" applyFont="1" applyFill="1" applyBorder="1" applyAlignment="1">
      <alignment horizontal="center" vertical="center" wrapText="1"/>
    </xf>
    <xf numFmtId="0" fontId="17" fillId="18" borderId="19" xfId="0" applyFont="1" applyFill="1" applyBorder="1" applyAlignment="1">
      <alignment horizontal="right" vertical="center" wrapText="1"/>
    </xf>
    <xf numFmtId="2" fontId="17" fillId="18" borderId="14" xfId="0" applyNumberFormat="1" applyFont="1" applyFill="1" applyBorder="1" applyAlignment="1">
      <alignment vertical="center" wrapText="1"/>
    </xf>
    <xf numFmtId="0" fontId="17" fillId="18" borderId="116" xfId="0" applyFont="1" applyFill="1" applyBorder="1" applyAlignment="1">
      <alignment vertical="center" wrapText="1"/>
    </xf>
    <xf numFmtId="0" fontId="17" fillId="18" borderId="25" xfId="0" applyFont="1" applyFill="1" applyBorder="1" applyAlignment="1">
      <alignment horizontal="center" vertical="center"/>
    </xf>
    <xf numFmtId="0" fontId="25" fillId="18" borderId="111" xfId="0" applyFont="1" applyFill="1" applyBorder="1" applyAlignment="1">
      <alignment horizontal="center" vertical="center" wrapText="1"/>
    </xf>
    <xf numFmtId="0" fontId="17" fillId="18" borderId="117" xfId="0" applyFont="1" applyFill="1" applyBorder="1" applyAlignment="1">
      <alignment horizontal="center" vertical="center" wrapText="1"/>
    </xf>
    <xf numFmtId="2" fontId="17" fillId="18" borderId="112" xfId="0" applyNumberFormat="1" applyFont="1" applyFill="1" applyBorder="1" applyAlignment="1">
      <alignment horizontal="right"/>
    </xf>
    <xf numFmtId="2" fontId="17" fillId="18" borderId="112" xfId="0" applyNumberFormat="1" applyFont="1" applyFill="1" applyBorder="1" applyAlignment="1">
      <alignment horizontal="center"/>
    </xf>
    <xf numFmtId="2" fontId="17" fillId="18" borderId="19" xfId="0" applyNumberFormat="1" applyFont="1" applyFill="1" applyBorder="1" applyAlignment="1">
      <alignment horizontal="right" vertical="center" wrapText="1"/>
    </xf>
    <xf numFmtId="0" fontId="17" fillId="18" borderId="109" xfId="0" applyFont="1" applyFill="1" applyBorder="1" applyAlignment="1">
      <alignment horizontal="center" vertical="center" wrapText="1"/>
    </xf>
    <xf numFmtId="0" fontId="17" fillId="18" borderId="109" xfId="0" applyFont="1" applyFill="1" applyBorder="1" applyAlignment="1">
      <alignment vertical="center" wrapText="1"/>
    </xf>
    <xf numFmtId="0" fontId="25" fillId="18" borderId="150" xfId="0" applyFont="1" applyFill="1" applyBorder="1" applyAlignment="1">
      <alignment horizontal="center" vertical="center" wrapText="1"/>
    </xf>
    <xf numFmtId="0" fontId="17" fillId="18" borderId="151" xfId="0" applyFont="1" applyFill="1" applyBorder="1" applyAlignment="1">
      <alignment horizontal="center" vertical="center" wrapText="1"/>
    </xf>
    <xf numFmtId="0" fontId="17" fillId="18" borderId="151" xfId="0" applyFont="1" applyFill="1" applyBorder="1" applyAlignment="1">
      <alignment horizontal="right" vertical="center" wrapText="1"/>
    </xf>
    <xf numFmtId="0" fontId="17" fillId="18" borderId="152" xfId="0" applyFont="1" applyFill="1" applyBorder="1" applyAlignment="1">
      <alignment horizontal="center" vertical="center"/>
    </xf>
    <xf numFmtId="0" fontId="25" fillId="18" borderId="107" xfId="0" applyFont="1" applyFill="1" applyBorder="1" applyAlignment="1">
      <alignment horizontal="center" vertical="center" wrapText="1"/>
    </xf>
    <xf numFmtId="2" fontId="17" fillId="18" borderId="108" xfId="0" applyNumberFormat="1" applyFont="1" applyFill="1" applyBorder="1" applyAlignment="1">
      <alignment horizontal="center" vertical="center"/>
    </xf>
    <xf numFmtId="0" fontId="25" fillId="18" borderId="153" xfId="0" applyFont="1" applyFill="1" applyBorder="1" applyAlignment="1">
      <alignment horizontal="center" vertical="center" wrapText="1"/>
    </xf>
    <xf numFmtId="0" fontId="17" fillId="18" borderId="154" xfId="0" applyFont="1" applyFill="1" applyBorder="1" applyAlignment="1">
      <alignment horizontal="center" vertical="center" wrapText="1"/>
    </xf>
    <xf numFmtId="0" fontId="17" fillId="18" borderId="154" xfId="0" applyFont="1" applyFill="1" applyBorder="1" applyAlignment="1">
      <alignment vertical="center" wrapText="1"/>
    </xf>
    <xf numFmtId="0" fontId="17" fillId="18" borderId="155" xfId="0" applyFont="1" applyFill="1" applyBorder="1" applyAlignment="1">
      <alignment horizontal="center" vertical="center"/>
    </xf>
    <xf numFmtId="0" fontId="0" fillId="0" borderId="0" xfId="0" applyFont="1" applyAlignment="1"/>
    <xf numFmtId="0" fontId="25" fillId="18" borderId="45" xfId="0" applyFont="1" applyFill="1" applyBorder="1" applyAlignment="1">
      <alignment horizontal="center" vertical="center" wrapText="1"/>
    </xf>
    <xf numFmtId="2" fontId="17" fillId="18" borderId="112" xfId="0" applyNumberFormat="1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 wrapText="1"/>
    </xf>
    <xf numFmtId="0" fontId="17" fillId="18" borderId="107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/>
    </xf>
    <xf numFmtId="0" fontId="25" fillId="18" borderId="107" xfId="0" applyFont="1" applyFill="1" applyBorder="1" applyAlignment="1">
      <alignment horizontal="center" vertical="center" wrapText="1"/>
    </xf>
    <xf numFmtId="0" fontId="17" fillId="18" borderId="108" xfId="0" applyFont="1" applyFill="1" applyBorder="1" applyAlignment="1">
      <alignment horizontal="center" vertical="center"/>
    </xf>
    <xf numFmtId="0" fontId="17" fillId="18" borderId="107" xfId="0" applyFont="1" applyFill="1" applyBorder="1" applyAlignment="1">
      <alignment horizontal="center" vertical="center" wrapText="1"/>
    </xf>
    <xf numFmtId="0" fontId="25" fillId="18" borderId="1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0" borderId="141" xfId="0" applyFont="1" applyFill="1" applyBorder="1" applyAlignment="1">
      <alignment horizontal="center" vertical="center" wrapText="1"/>
    </xf>
    <xf numFmtId="0" fontId="25" fillId="18" borderId="156" xfId="0" applyFont="1" applyFill="1" applyBorder="1" applyAlignment="1">
      <alignment horizontal="center" vertical="center" wrapText="1"/>
    </xf>
    <xf numFmtId="0" fontId="17" fillId="18" borderId="144" xfId="0" applyFont="1" applyFill="1" applyBorder="1" applyAlignment="1">
      <alignment vertical="center" wrapText="1"/>
    </xf>
    <xf numFmtId="2" fontId="17" fillId="18" borderId="144" xfId="0" applyNumberFormat="1" applyFont="1" applyFill="1" applyBorder="1" applyAlignment="1">
      <alignment horizontal="right" vertical="center" wrapText="1"/>
    </xf>
    <xf numFmtId="2" fontId="17" fillId="18" borderId="145" xfId="0" applyNumberFormat="1" applyFont="1" applyFill="1" applyBorder="1" applyAlignment="1">
      <alignment horizontal="center" vertical="center"/>
    </xf>
    <xf numFmtId="0" fontId="17" fillId="18" borderId="157" xfId="0" applyFont="1" applyFill="1" applyBorder="1" applyAlignment="1">
      <alignment horizontal="center" vertical="center" wrapText="1"/>
    </xf>
    <xf numFmtId="0" fontId="17" fillId="18" borderId="157" xfId="0" applyFont="1" applyFill="1" applyBorder="1" applyAlignment="1">
      <alignment horizontal="right" vertical="center" wrapText="1"/>
    </xf>
    <xf numFmtId="0" fontId="17" fillId="18" borderId="158" xfId="0" applyFont="1" applyFill="1" applyBorder="1" applyAlignment="1">
      <alignment horizontal="center" vertical="center" wrapText="1"/>
    </xf>
    <xf numFmtId="0" fontId="17" fillId="18" borderId="158" xfId="0" applyFont="1" applyFill="1" applyBorder="1" applyAlignment="1">
      <alignment horizontal="right" vertical="center" wrapText="1"/>
    </xf>
    <xf numFmtId="2" fontId="39" fillId="18" borderId="14" xfId="0" applyNumberFormat="1" applyFont="1" applyFill="1" applyBorder="1" applyAlignment="1">
      <alignment horizontal="right" vertical="center" wrapText="1"/>
    </xf>
    <xf numFmtId="2" fontId="17" fillId="18" borderId="157" xfId="0" applyNumberFormat="1" applyFont="1" applyFill="1" applyBorder="1" applyAlignment="1">
      <alignment horizontal="right" vertical="center" wrapText="1"/>
    </xf>
    <xf numFmtId="0" fontId="17" fillId="18" borderId="130" xfId="0" applyFont="1" applyFill="1" applyBorder="1" applyAlignment="1">
      <alignment horizontal="center" vertical="center" wrapText="1"/>
    </xf>
    <xf numFmtId="0" fontId="17" fillId="18" borderId="131" xfId="0" applyFont="1" applyFill="1" applyBorder="1" applyAlignment="1">
      <alignment horizontal="center" vertical="center" wrapText="1"/>
    </xf>
    <xf numFmtId="2" fontId="17" fillId="18" borderId="142" xfId="0" applyNumberFormat="1" applyFont="1" applyFill="1" applyBorder="1" applyAlignment="1">
      <alignment horizontal="right" vertical="center" wrapText="1"/>
    </xf>
    <xf numFmtId="0" fontId="17" fillId="18" borderId="143" xfId="0" applyFont="1" applyFill="1" applyBorder="1" applyAlignment="1">
      <alignment horizontal="center" vertical="center" wrapText="1"/>
    </xf>
    <xf numFmtId="2" fontId="39" fillId="18" borderId="117" xfId="0" applyNumberFormat="1" applyFont="1" applyFill="1" applyBorder="1" applyAlignment="1">
      <alignment horizontal="right" vertical="center" wrapText="1"/>
    </xf>
    <xf numFmtId="0" fontId="17" fillId="18" borderId="150" xfId="0" applyFont="1" applyFill="1" applyBorder="1" applyAlignment="1">
      <alignment horizontal="center" vertical="center" wrapText="1"/>
    </xf>
    <xf numFmtId="2" fontId="39" fillId="18" borderId="161" xfId="0" applyNumberFormat="1" applyFont="1" applyFill="1" applyBorder="1" applyAlignment="1">
      <alignment horizontal="right" vertical="center" wrapText="1"/>
    </xf>
    <xf numFmtId="2" fontId="17" fillId="18" borderId="15" xfId="0" applyNumberFormat="1" applyFont="1" applyFill="1" applyBorder="1" applyAlignment="1">
      <alignment horizontal="right" vertical="center" wrapText="1"/>
    </xf>
    <xf numFmtId="0" fontId="17" fillId="18" borderId="159" xfId="0" applyFont="1" applyFill="1" applyBorder="1" applyAlignment="1">
      <alignment horizontal="center" vertical="center" wrapText="1"/>
    </xf>
    <xf numFmtId="2" fontId="39" fillId="18" borderId="162" xfId="0" applyNumberFormat="1" applyFont="1" applyFill="1" applyBorder="1" applyAlignment="1">
      <alignment horizontal="right" vertical="center" wrapText="1"/>
    </xf>
    <xf numFmtId="0" fontId="17" fillId="18" borderId="94" xfId="0" applyFont="1" applyFill="1" applyBorder="1" applyAlignment="1">
      <alignment horizontal="center" vertical="center" wrapText="1"/>
    </xf>
    <xf numFmtId="0" fontId="25" fillId="18" borderId="124" xfId="0" applyFont="1" applyFill="1" applyBorder="1" applyAlignment="1">
      <alignment horizontal="center" vertical="center" wrapText="1"/>
    </xf>
    <xf numFmtId="0" fontId="25" fillId="18" borderId="130" xfId="0" applyFont="1" applyFill="1" applyBorder="1" applyAlignment="1">
      <alignment horizontal="center" vertical="center" wrapText="1"/>
    </xf>
    <xf numFmtId="2" fontId="17" fillId="18" borderId="25" xfId="0" applyNumberFormat="1" applyFont="1" applyFill="1" applyBorder="1" applyAlignment="1">
      <alignment horizontal="center"/>
    </xf>
    <xf numFmtId="2" fontId="17" fillId="18" borderId="25" xfId="0" applyNumberFormat="1" applyFont="1" applyFill="1" applyBorder="1" applyAlignment="1">
      <alignment horizontal="center" vertical="center"/>
    </xf>
    <xf numFmtId="0" fontId="17" fillId="18" borderId="33" xfId="0" applyFont="1" applyFill="1" applyBorder="1" applyAlignment="1">
      <alignment horizontal="center" vertical="center" wrapText="1"/>
    </xf>
    <xf numFmtId="0" fontId="25" fillId="18" borderId="36" xfId="0" applyFont="1" applyFill="1" applyBorder="1" applyAlignment="1">
      <alignment vertical="center" wrapText="1"/>
    </xf>
    <xf numFmtId="0" fontId="25" fillId="18" borderId="163" xfId="0" applyFont="1" applyFill="1" applyBorder="1" applyAlignment="1">
      <alignment horizontal="center" vertical="center" wrapText="1"/>
    </xf>
    <xf numFmtId="0" fontId="17" fillId="18" borderId="147" xfId="0" applyFont="1" applyFill="1" applyBorder="1" applyAlignment="1">
      <alignment horizontal="center" vertical="center" wrapText="1"/>
    </xf>
    <xf numFmtId="2" fontId="17" fillId="18" borderId="18" xfId="0" applyNumberFormat="1" applyFont="1" applyFill="1" applyBorder="1" applyAlignment="1">
      <alignment horizontal="right" vertical="center" wrapText="1"/>
    </xf>
    <xf numFmtId="2" fontId="17" fillId="18" borderId="151" xfId="0" applyNumberFormat="1" applyFont="1" applyFill="1" applyBorder="1" applyAlignment="1">
      <alignment horizontal="right" vertical="center" wrapText="1"/>
    </xf>
    <xf numFmtId="0" fontId="25" fillId="0" borderId="114" xfId="0" applyFont="1" applyFill="1" applyBorder="1" applyAlignment="1">
      <alignment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right" vertical="center" wrapText="1"/>
    </xf>
    <xf numFmtId="0" fontId="24" fillId="0" borderId="172" xfId="0" applyFont="1" applyFill="1" applyBorder="1" applyAlignment="1">
      <alignment horizontal="center" vertical="center" wrapText="1"/>
    </xf>
    <xf numFmtId="0" fontId="25" fillId="18" borderId="30" xfId="0" applyFont="1" applyFill="1" applyBorder="1" applyAlignment="1">
      <alignment horizontal="center" vertical="center" wrapText="1"/>
    </xf>
    <xf numFmtId="2" fontId="17" fillId="18" borderId="173" xfId="0" applyNumberFormat="1" applyFont="1" applyFill="1" applyBorder="1" applyAlignment="1">
      <alignment horizontal="center" vertical="center"/>
    </xf>
    <xf numFmtId="0" fontId="17" fillId="18" borderId="157" xfId="0" applyFont="1" applyFill="1" applyBorder="1" applyAlignment="1">
      <alignment vertical="center" wrapText="1"/>
    </xf>
    <xf numFmtId="0" fontId="17" fillId="18" borderId="175" xfId="0" applyFont="1" applyFill="1" applyBorder="1" applyAlignment="1">
      <alignment horizontal="center" vertical="center" wrapText="1"/>
    </xf>
    <xf numFmtId="0" fontId="17" fillId="18" borderId="175" xfId="0" applyFont="1" applyFill="1" applyBorder="1" applyAlignment="1">
      <alignment vertical="center" wrapText="1"/>
    </xf>
    <xf numFmtId="2" fontId="17" fillId="18" borderId="0" xfId="0" applyNumberFormat="1" applyFont="1" applyFill="1" applyAlignment="1">
      <alignment horizontal="center" vertical="center"/>
    </xf>
    <xf numFmtId="0" fontId="25" fillId="18" borderId="177" xfId="0" applyFont="1" applyFill="1" applyBorder="1" applyAlignment="1">
      <alignment horizontal="center" vertical="center" wrapText="1"/>
    </xf>
    <xf numFmtId="0" fontId="17" fillId="18" borderId="179" xfId="0" applyFont="1" applyFill="1" applyBorder="1" applyAlignment="1">
      <alignment horizontal="center" vertical="center" wrapText="1"/>
    </xf>
    <xf numFmtId="2" fontId="17" fillId="18" borderId="179" xfId="0" applyNumberFormat="1" applyFont="1" applyFill="1" applyBorder="1" applyAlignment="1">
      <alignment horizontal="right"/>
    </xf>
    <xf numFmtId="2" fontId="17" fillId="18" borderId="160" xfId="0" applyNumberFormat="1" applyFont="1" applyFill="1" applyBorder="1" applyAlignment="1">
      <alignment horizontal="center"/>
    </xf>
    <xf numFmtId="2" fontId="24" fillId="18" borderId="174" xfId="0" applyNumberFormat="1" applyFont="1" applyFill="1" applyBorder="1" applyAlignment="1">
      <alignment horizontal="center" vertical="center" wrapText="1"/>
    </xf>
    <xf numFmtId="2" fontId="24" fillId="18" borderId="36" xfId="0" applyNumberFormat="1" applyFont="1" applyFill="1" applyBorder="1" applyAlignment="1">
      <alignment horizontal="center" vertical="center" wrapText="1"/>
    </xf>
    <xf numFmtId="2" fontId="17" fillId="18" borderId="180" xfId="0" applyNumberFormat="1" applyFont="1" applyFill="1" applyBorder="1" applyAlignment="1">
      <alignment horizontal="center"/>
    </xf>
    <xf numFmtId="2" fontId="17" fillId="18" borderId="181" xfId="0" applyNumberFormat="1" applyFont="1" applyFill="1" applyBorder="1" applyAlignment="1">
      <alignment horizontal="center"/>
    </xf>
    <xf numFmtId="0" fontId="17" fillId="18" borderId="33" xfId="0" applyFont="1" applyFill="1" applyBorder="1" applyAlignment="1">
      <alignment horizontal="center" vertical="center" wrapText="1"/>
    </xf>
    <xf numFmtId="2" fontId="24" fillId="18" borderId="36" xfId="0" applyNumberFormat="1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8" borderId="25" xfId="0" applyFont="1" applyFill="1" applyBorder="1" applyAlignment="1">
      <alignment horizontal="center" vertical="center" wrapText="1"/>
    </xf>
    <xf numFmtId="0" fontId="25" fillId="18" borderId="127" xfId="0" applyFont="1" applyFill="1" applyBorder="1" applyAlignment="1">
      <alignment horizontal="center" vertical="center" wrapText="1"/>
    </xf>
    <xf numFmtId="2" fontId="17" fillId="18" borderId="125" xfId="0" applyNumberFormat="1" applyFont="1" applyFill="1" applyBorder="1" applyAlignment="1">
      <alignment horizontal="center" vertical="center"/>
    </xf>
    <xf numFmtId="0" fontId="24" fillId="3" borderId="111" xfId="0" applyFont="1" applyFill="1" applyBorder="1" applyAlignment="1">
      <alignment horizontal="left" vertical="center" wrapText="1"/>
    </xf>
    <xf numFmtId="0" fontId="24" fillId="3" borderId="117" xfId="0" applyFont="1" applyFill="1" applyBorder="1" applyAlignment="1">
      <alignment horizontal="left" vertical="center" wrapText="1"/>
    </xf>
    <xf numFmtId="0" fontId="17" fillId="18" borderId="182" xfId="0" applyFont="1" applyFill="1" applyBorder="1" applyAlignment="1">
      <alignment horizontal="center" vertical="center" wrapText="1"/>
    </xf>
    <xf numFmtId="0" fontId="25" fillId="18" borderId="183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7" fillId="18" borderId="109" xfId="0" applyFont="1" applyFill="1" applyBorder="1" applyAlignment="1">
      <alignment horizontal="right" vertical="center" wrapText="1"/>
    </xf>
    <xf numFmtId="2" fontId="17" fillId="18" borderId="125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0" fontId="17" fillId="18" borderId="128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122" xfId="0" applyFont="1" applyFill="1" applyBorder="1" applyAlignment="1">
      <alignment horizontal="right" vertical="center" wrapText="1"/>
    </xf>
    <xf numFmtId="0" fontId="25" fillId="18" borderId="132" xfId="0" applyFont="1" applyFill="1" applyBorder="1" applyAlignment="1">
      <alignment horizontal="center" vertical="center" wrapText="1"/>
    </xf>
    <xf numFmtId="0" fontId="17" fillId="18" borderId="122" xfId="0" applyFont="1" applyFill="1" applyBorder="1" applyAlignment="1">
      <alignment horizontal="center" vertical="center" wrapText="1"/>
    </xf>
    <xf numFmtId="2" fontId="17" fillId="18" borderId="14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right" vertical="top"/>
    </xf>
    <xf numFmtId="0" fontId="11" fillId="0" borderId="16" xfId="0" applyFont="1" applyBorder="1"/>
    <xf numFmtId="0" fontId="11" fillId="0" borderId="17" xfId="0" applyFont="1" applyBorder="1"/>
    <xf numFmtId="0" fontId="10" fillId="8" borderId="15" xfId="0" applyFont="1" applyFill="1" applyBorder="1" applyAlignment="1">
      <alignment horizontal="right" vertical="top" wrapText="1"/>
    </xf>
    <xf numFmtId="0" fontId="10" fillId="8" borderId="15" xfId="0" applyFont="1" applyFill="1" applyBorder="1" applyAlignment="1">
      <alignment horizontal="right" vertical="top"/>
    </xf>
    <xf numFmtId="0" fontId="10" fillId="4" borderId="15" xfId="0" applyFont="1" applyFill="1" applyBorder="1" applyAlignment="1">
      <alignment horizontal="right" vertical="top" wrapText="1"/>
    </xf>
    <xf numFmtId="4" fontId="9" fillId="8" borderId="18" xfId="0" applyNumberFormat="1" applyFont="1" applyFill="1" applyBorder="1" applyAlignment="1">
      <alignment horizontal="right" vertical="top"/>
    </xf>
    <xf numFmtId="0" fontId="11" fillId="0" borderId="19" xfId="0" applyFont="1" applyBorder="1"/>
    <xf numFmtId="0" fontId="11" fillId="0" borderId="20" xfId="0" applyFont="1" applyBorder="1"/>
    <xf numFmtId="0" fontId="17" fillId="18" borderId="33" xfId="0" applyFont="1" applyFill="1" applyBorder="1" applyAlignment="1">
      <alignment horizontal="center" vertical="center" wrapText="1"/>
    </xf>
    <xf numFmtId="0" fontId="17" fillId="18" borderId="42" xfId="0" applyFont="1" applyFill="1" applyBorder="1" applyAlignment="1">
      <alignment horizontal="center" vertical="center" wrapText="1"/>
    </xf>
    <xf numFmtId="0" fontId="17" fillId="18" borderId="38" xfId="0" applyFont="1" applyFill="1" applyBorder="1" applyAlignment="1">
      <alignment horizontal="center" vertical="center" wrapText="1"/>
    </xf>
    <xf numFmtId="0" fontId="25" fillId="18" borderId="36" xfId="0" applyFont="1" applyFill="1" applyBorder="1" applyAlignment="1">
      <alignment horizontal="left" vertical="center" wrapText="1"/>
    </xf>
    <xf numFmtId="0" fontId="25" fillId="18" borderId="7" xfId="0" applyFont="1" applyFill="1" applyBorder="1" applyAlignment="1">
      <alignment horizontal="left" vertical="center" wrapText="1"/>
    </xf>
    <xf numFmtId="0" fontId="25" fillId="18" borderId="119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20" xfId="0" applyFont="1" applyFill="1" applyBorder="1" applyAlignment="1">
      <alignment horizontal="center" vertical="center" wrapText="1"/>
    </xf>
    <xf numFmtId="0" fontId="25" fillId="18" borderId="36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0" fontId="25" fillId="18" borderId="119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2" fontId="17" fillId="18" borderId="166" xfId="0" applyNumberFormat="1" applyFont="1" applyFill="1" applyBorder="1" applyAlignment="1">
      <alignment horizontal="center" vertical="center"/>
    </xf>
    <xf numFmtId="2" fontId="17" fillId="18" borderId="167" xfId="0" applyNumberFormat="1" applyFont="1" applyFill="1" applyBorder="1" applyAlignment="1">
      <alignment horizontal="center" vertical="center"/>
    </xf>
    <xf numFmtId="2" fontId="17" fillId="18" borderId="168" xfId="0" applyNumberFormat="1" applyFont="1" applyFill="1" applyBorder="1" applyAlignment="1">
      <alignment horizontal="center" vertical="center"/>
    </xf>
    <xf numFmtId="2" fontId="24" fillId="18" borderId="36" xfId="0" applyNumberFormat="1" applyFont="1" applyFill="1" applyBorder="1" applyAlignment="1">
      <alignment horizontal="center" vertical="center" wrapText="1"/>
    </xf>
    <xf numFmtId="2" fontId="24" fillId="18" borderId="7" xfId="0" applyNumberFormat="1" applyFont="1" applyFill="1" applyBorder="1" applyAlignment="1">
      <alignment horizontal="center" vertical="center" wrapText="1"/>
    </xf>
    <xf numFmtId="2" fontId="24" fillId="18" borderId="119" xfId="0" applyNumberFormat="1" applyFont="1" applyFill="1" applyBorder="1" applyAlignment="1">
      <alignment horizontal="center" vertical="center" wrapText="1"/>
    </xf>
    <xf numFmtId="0" fontId="17" fillId="18" borderId="94" xfId="0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17" fillId="18" borderId="90" xfId="0" applyFont="1" applyFill="1" applyBorder="1" applyAlignment="1">
      <alignment horizontal="center" vertical="center" wrapText="1"/>
    </xf>
    <xf numFmtId="0" fontId="25" fillId="18" borderId="124" xfId="0" applyFont="1" applyFill="1" applyBorder="1" applyAlignment="1">
      <alignment horizontal="center" vertical="center" wrapText="1"/>
    </xf>
    <xf numFmtId="0" fontId="25" fillId="18" borderId="125" xfId="0" applyFont="1" applyFill="1" applyBorder="1" applyAlignment="1">
      <alignment horizontal="center" vertical="center" wrapText="1"/>
    </xf>
    <xf numFmtId="0" fontId="25" fillId="18" borderId="140" xfId="0" applyFont="1" applyFill="1" applyBorder="1" applyAlignment="1">
      <alignment horizontal="center" vertical="center" wrapText="1"/>
    </xf>
    <xf numFmtId="0" fontId="25" fillId="18" borderId="131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0" fontId="25" fillId="18" borderId="109" xfId="0" applyFont="1" applyFill="1" applyBorder="1" applyAlignment="1">
      <alignment horizontal="center" vertical="center" wrapText="1"/>
    </xf>
    <xf numFmtId="0" fontId="17" fillId="0" borderId="118" xfId="0" applyFont="1" applyFill="1" applyBorder="1" applyAlignment="1">
      <alignment horizontal="center" vertical="center" wrapText="1"/>
    </xf>
    <xf numFmtId="0" fontId="25" fillId="0" borderId="114" xfId="0" applyFont="1" applyFill="1" applyBorder="1" applyAlignment="1">
      <alignment horizontal="center" vertical="center" wrapText="1"/>
    </xf>
    <xf numFmtId="0" fontId="25" fillId="0" borderId="110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 wrapText="1"/>
    </xf>
    <xf numFmtId="0" fontId="40" fillId="0" borderId="114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110" xfId="0" applyFont="1" applyFill="1" applyBorder="1" applyAlignment="1">
      <alignment horizontal="center" vertical="center" wrapText="1"/>
    </xf>
    <xf numFmtId="0" fontId="25" fillId="18" borderId="114" xfId="0" applyFont="1" applyFill="1" applyBorder="1" applyAlignment="1">
      <alignment horizontal="center" vertical="center" wrapText="1"/>
    </xf>
    <xf numFmtId="0" fontId="17" fillId="18" borderId="141" xfId="0" applyFont="1" applyFill="1" applyBorder="1" applyAlignment="1">
      <alignment horizontal="center" vertical="center" wrapText="1"/>
    </xf>
    <xf numFmtId="2" fontId="25" fillId="18" borderId="128" xfId="0" applyNumberFormat="1" applyFont="1" applyFill="1" applyBorder="1" applyAlignment="1">
      <alignment horizontal="center" vertical="center" wrapText="1"/>
    </xf>
    <xf numFmtId="2" fontId="17" fillId="18" borderId="161" xfId="0" applyNumberFormat="1" applyFont="1" applyFill="1" applyBorder="1" applyAlignment="1">
      <alignment horizontal="center" vertical="center" wrapText="1"/>
    </xf>
    <xf numFmtId="2" fontId="17" fillId="18" borderId="131" xfId="0" applyNumberFormat="1" applyFont="1" applyFill="1" applyBorder="1" applyAlignment="1">
      <alignment horizontal="center" vertical="center" wrapText="1"/>
    </xf>
    <xf numFmtId="2" fontId="17" fillId="18" borderId="15" xfId="0" applyNumberFormat="1" applyFont="1" applyFill="1" applyBorder="1" applyAlignment="1">
      <alignment horizontal="center" vertical="center" wrapText="1"/>
    </xf>
    <xf numFmtId="2" fontId="17" fillId="18" borderId="16" xfId="0" applyNumberFormat="1" applyFont="1" applyFill="1" applyBorder="1" applyAlignment="1">
      <alignment horizontal="center" vertical="center" wrapText="1"/>
    </xf>
    <xf numFmtId="2" fontId="17" fillId="18" borderId="162" xfId="0" applyNumberFormat="1" applyFont="1" applyFill="1" applyBorder="1" applyAlignment="1">
      <alignment horizontal="center" vertical="center" wrapText="1"/>
    </xf>
    <xf numFmtId="2" fontId="17" fillId="18" borderId="109" xfId="0" applyNumberFormat="1" applyFont="1" applyFill="1" applyBorder="1" applyAlignment="1">
      <alignment horizontal="center" vertical="center" wrapText="1"/>
    </xf>
    <xf numFmtId="0" fontId="25" fillId="18" borderId="150" xfId="0" applyFont="1" applyFill="1" applyBorder="1" applyAlignment="1">
      <alignment horizontal="center" vertical="center" wrapText="1"/>
    </xf>
    <xf numFmtId="0" fontId="25" fillId="18" borderId="107" xfId="0" applyFont="1" applyFill="1" applyBorder="1" applyAlignment="1">
      <alignment horizontal="center" vertical="center" wrapText="1"/>
    </xf>
    <xf numFmtId="2" fontId="17" fillId="18" borderId="145" xfId="0" applyNumberFormat="1" applyFont="1" applyFill="1" applyBorder="1" applyAlignment="1">
      <alignment horizontal="center" vertical="center"/>
    </xf>
    <xf numFmtId="2" fontId="17" fillId="18" borderId="108" xfId="0" applyNumberFormat="1" applyFont="1" applyFill="1" applyBorder="1" applyAlignment="1">
      <alignment horizontal="center" vertical="center"/>
    </xf>
    <xf numFmtId="0" fontId="25" fillId="18" borderId="43" xfId="0" applyFont="1" applyFill="1" applyBorder="1" applyAlignment="1">
      <alignment horizontal="center" vertical="center" wrapText="1"/>
    </xf>
    <xf numFmtId="0" fontId="25" fillId="18" borderId="127" xfId="0" applyFont="1" applyFill="1" applyBorder="1" applyAlignment="1">
      <alignment horizontal="center" vertical="center" wrapText="1"/>
    </xf>
    <xf numFmtId="0" fontId="25" fillId="18" borderId="45" xfId="0" applyFont="1" applyFill="1" applyBorder="1" applyAlignment="1">
      <alignment horizontal="center" vertical="center" wrapText="1"/>
    </xf>
    <xf numFmtId="0" fontId="25" fillId="18" borderId="126" xfId="0" applyFont="1" applyFill="1" applyBorder="1" applyAlignment="1">
      <alignment horizontal="center" vertical="center" wrapText="1"/>
    </xf>
    <xf numFmtId="0" fontId="17" fillId="18" borderId="128" xfId="0" applyFont="1" applyFill="1" applyBorder="1" applyAlignment="1">
      <alignment horizontal="center" vertical="center" wrapText="1"/>
    </xf>
    <xf numFmtId="0" fontId="17" fillId="18" borderId="112" xfId="0" applyFont="1" applyFill="1" applyBorder="1" applyAlignment="1">
      <alignment horizontal="center" vertical="center" wrapText="1"/>
    </xf>
    <xf numFmtId="2" fontId="17" fillId="18" borderId="128" xfId="0" applyNumberFormat="1" applyFont="1" applyFill="1" applyBorder="1" applyAlignment="1">
      <alignment horizontal="center" vertical="center" wrapText="1"/>
    </xf>
    <xf numFmtId="0" fontId="17" fillId="18" borderId="125" xfId="0" applyFont="1" applyFill="1" applyBorder="1" applyAlignment="1">
      <alignment horizontal="center" vertical="center" wrapText="1"/>
    </xf>
    <xf numFmtId="2" fontId="17" fillId="18" borderId="125" xfId="0" applyNumberFormat="1" applyFont="1" applyFill="1" applyBorder="1" applyAlignment="1">
      <alignment horizontal="center" vertical="center"/>
    </xf>
    <xf numFmtId="0" fontId="25" fillId="18" borderId="130" xfId="0" applyFont="1" applyFill="1" applyBorder="1" applyAlignment="1">
      <alignment horizontal="center" vertical="center" wrapText="1"/>
    </xf>
    <xf numFmtId="0" fontId="25" fillId="18" borderId="121" xfId="0" applyFont="1" applyFill="1" applyBorder="1" applyAlignment="1">
      <alignment horizontal="center" vertical="center" wrapText="1"/>
    </xf>
    <xf numFmtId="0" fontId="25" fillId="18" borderId="122" xfId="0" applyFont="1" applyFill="1" applyBorder="1" applyAlignment="1">
      <alignment horizontal="center" vertical="center" wrapText="1"/>
    </xf>
    <xf numFmtId="0" fontId="24" fillId="10" borderId="23" xfId="0" applyFont="1" applyFill="1" applyBorder="1" applyAlignment="1">
      <alignment horizontal="left" vertical="center"/>
    </xf>
    <xf numFmtId="0" fontId="11" fillId="0" borderId="25" xfId="0" applyFont="1" applyBorder="1"/>
    <xf numFmtId="2" fontId="19" fillId="2" borderId="26" xfId="0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28" xfId="0" applyFont="1" applyBorder="1"/>
    <xf numFmtId="0" fontId="24" fillId="3" borderId="30" xfId="0" applyFont="1" applyFill="1" applyBorder="1" applyAlignment="1">
      <alignment horizontal="left" vertical="center" wrapText="1"/>
    </xf>
    <xf numFmtId="0" fontId="24" fillId="3" borderId="96" xfId="0" applyFont="1" applyFill="1" applyBorder="1" applyAlignment="1">
      <alignment horizontal="left" vertical="center" wrapText="1"/>
    </xf>
    <xf numFmtId="0" fontId="24" fillId="3" borderId="32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/>
    </xf>
    <xf numFmtId="0" fontId="25" fillId="0" borderId="84" xfId="0" applyFont="1" applyFill="1" applyBorder="1" applyAlignment="1">
      <alignment horizontal="left"/>
    </xf>
    <xf numFmtId="0" fontId="24" fillId="4" borderId="30" xfId="0" applyFont="1" applyFill="1" applyBorder="1" applyAlignment="1">
      <alignment horizontal="left" vertical="center" wrapText="1"/>
    </xf>
    <xf numFmtId="0" fontId="24" fillId="4" borderId="96" xfId="0" applyFont="1" applyFill="1" applyBorder="1" applyAlignment="1">
      <alignment horizontal="left" vertical="center" wrapText="1"/>
    </xf>
    <xf numFmtId="0" fontId="24" fillId="4" borderId="32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9" xfId="0" applyFont="1" applyFill="1" applyBorder="1" applyAlignment="1">
      <alignment horizontal="center" vertical="center" wrapText="1"/>
    </xf>
    <xf numFmtId="0" fontId="17" fillId="0" borderId="124" xfId="0" applyFont="1" applyFill="1" applyBorder="1" applyAlignment="1">
      <alignment horizontal="center" vertical="center" wrapText="1"/>
    </xf>
    <xf numFmtId="0" fontId="17" fillId="0" borderId="125" xfId="0" applyFont="1" applyFill="1" applyBorder="1" applyAlignment="1">
      <alignment horizontal="center" vertical="center" wrapText="1"/>
    </xf>
    <xf numFmtId="0" fontId="17" fillId="0" borderId="140" xfId="0" applyFont="1" applyFill="1" applyBorder="1" applyAlignment="1">
      <alignment horizontal="center" vertical="center" wrapText="1"/>
    </xf>
    <xf numFmtId="0" fontId="17" fillId="18" borderId="108" xfId="0" applyFont="1" applyFill="1" applyBorder="1" applyAlignment="1">
      <alignment horizontal="center" vertical="center"/>
    </xf>
    <xf numFmtId="0" fontId="25" fillId="18" borderId="178" xfId="0" applyFont="1" applyFill="1" applyBorder="1" applyAlignment="1">
      <alignment horizontal="center" vertical="center" wrapText="1"/>
    </xf>
    <xf numFmtId="0" fontId="25" fillId="18" borderId="176" xfId="0" applyFont="1" applyFill="1" applyBorder="1" applyAlignment="1">
      <alignment horizontal="center" vertical="center" wrapText="1"/>
    </xf>
    <xf numFmtId="0" fontId="25" fillId="18" borderId="148" xfId="0" applyFont="1" applyFill="1" applyBorder="1" applyAlignment="1">
      <alignment horizontal="center" vertical="center" wrapText="1"/>
    </xf>
    <xf numFmtId="0" fontId="17" fillId="18" borderId="152" xfId="0" applyFont="1" applyFill="1" applyBorder="1" applyAlignment="1">
      <alignment horizontal="center" vertical="center"/>
    </xf>
    <xf numFmtId="0" fontId="25" fillId="18" borderId="147" xfId="0" applyFont="1" applyFill="1" applyBorder="1" applyAlignment="1">
      <alignment horizontal="center" vertical="center" wrapText="1"/>
    </xf>
    <xf numFmtId="2" fontId="17" fillId="18" borderId="12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18" fillId="0" borderId="0" xfId="0" applyFont="1" applyFill="1" applyAlignment="1">
      <alignment horizontal="center"/>
    </xf>
    <xf numFmtId="0" fontId="0" fillId="0" borderId="0" xfId="0" applyFont="1" applyFill="1" applyAlignment="1"/>
    <xf numFmtId="0" fontId="23" fillId="0" borderId="0" xfId="0" applyFont="1" applyFill="1" applyAlignment="1">
      <alignment horizontal="left" vertical="center"/>
    </xf>
    <xf numFmtId="0" fontId="17" fillId="0" borderId="25" xfId="0" applyFont="1" applyFill="1" applyBorder="1" applyAlignment="1">
      <alignment horizontal="left"/>
    </xf>
    <xf numFmtId="0" fontId="17" fillId="0" borderId="88" xfId="0" applyFont="1" applyFill="1" applyBorder="1" applyAlignment="1">
      <alignment horizontal="left"/>
    </xf>
    <xf numFmtId="0" fontId="17" fillId="0" borderId="25" xfId="0" applyFont="1" applyFill="1" applyBorder="1" applyAlignment="1">
      <alignment horizontal="center"/>
    </xf>
    <xf numFmtId="0" fontId="17" fillId="0" borderId="88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/>
    </xf>
    <xf numFmtId="0" fontId="24" fillId="0" borderId="113" xfId="0" applyFont="1" applyFill="1" applyBorder="1" applyAlignment="1">
      <alignment horizontal="center" vertical="center" wrapText="1"/>
    </xf>
    <xf numFmtId="2" fontId="24" fillId="18" borderId="114" xfId="0" applyNumberFormat="1" applyFont="1" applyFill="1" applyBorder="1" applyAlignment="1">
      <alignment horizontal="center" vertical="center" wrapText="1"/>
    </xf>
    <xf numFmtId="2" fontId="24" fillId="18" borderId="110" xfId="0" applyNumberFormat="1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5" fillId="18" borderId="129" xfId="0" applyFont="1" applyFill="1" applyBorder="1" applyAlignment="1">
      <alignment horizontal="center" vertical="center" wrapText="1"/>
    </xf>
    <xf numFmtId="0" fontId="25" fillId="18" borderId="111" xfId="0" applyFont="1" applyFill="1" applyBorder="1" applyAlignment="1">
      <alignment horizontal="center" vertical="center" wrapText="1"/>
    </xf>
    <xf numFmtId="2" fontId="17" fillId="18" borderId="112" xfId="0" applyNumberFormat="1" applyFont="1" applyFill="1" applyBorder="1" applyAlignment="1">
      <alignment horizontal="center" vertical="center"/>
    </xf>
    <xf numFmtId="0" fontId="17" fillId="18" borderId="147" xfId="0" applyFont="1" applyFill="1" applyBorder="1" applyAlignment="1">
      <alignment horizontal="center" vertical="center" wrapText="1"/>
    </xf>
    <xf numFmtId="0" fontId="17" fillId="18" borderId="176" xfId="0" applyFont="1" applyFill="1" applyBorder="1" applyAlignment="1">
      <alignment horizontal="center" vertical="center" wrapText="1"/>
    </xf>
    <xf numFmtId="0" fontId="17" fillId="18" borderId="148" xfId="0" applyFont="1" applyFill="1" applyBorder="1" applyAlignment="1">
      <alignment horizontal="center" vertical="center" wrapText="1"/>
    </xf>
    <xf numFmtId="0" fontId="17" fillId="18" borderId="146" xfId="0" applyFont="1" applyFill="1" applyBorder="1" applyAlignment="1">
      <alignment horizontal="center" vertical="center"/>
    </xf>
    <xf numFmtId="0" fontId="17" fillId="18" borderId="149" xfId="0" applyFont="1" applyFill="1" applyBorder="1" applyAlignment="1">
      <alignment horizontal="center" vertical="center"/>
    </xf>
    <xf numFmtId="0" fontId="24" fillId="0" borderId="9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90" xfId="0" applyFont="1" applyFill="1" applyBorder="1" applyAlignment="1">
      <alignment horizontal="center" vertical="center" wrapText="1"/>
    </xf>
    <xf numFmtId="2" fontId="24" fillId="18" borderId="124" xfId="0" applyNumberFormat="1" applyFont="1" applyFill="1" applyBorder="1" applyAlignment="1">
      <alignment horizontal="center" vertical="center" wrapText="1"/>
    </xf>
    <xf numFmtId="2" fontId="24" fillId="18" borderId="125" xfId="0" applyNumberFormat="1" applyFont="1" applyFill="1" applyBorder="1" applyAlignment="1">
      <alignment horizontal="center" vertical="center" wrapText="1"/>
    </xf>
    <xf numFmtId="2" fontId="24" fillId="18" borderId="140" xfId="0" applyNumberFormat="1" applyFont="1" applyFill="1" applyBorder="1" applyAlignment="1">
      <alignment horizontal="center" vertical="center" wrapText="1"/>
    </xf>
    <xf numFmtId="0" fontId="17" fillId="18" borderId="107" xfId="0" applyFont="1" applyFill="1" applyBorder="1" applyAlignment="1">
      <alignment horizontal="center" vertical="center" wrapText="1"/>
    </xf>
    <xf numFmtId="0" fontId="17" fillId="18" borderId="145" xfId="0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2" fontId="17" fillId="18" borderId="146" xfId="0" applyNumberFormat="1" applyFont="1" applyFill="1" applyBorder="1" applyAlignment="1">
      <alignment horizontal="center" vertical="center"/>
    </xf>
    <xf numFmtId="2" fontId="17" fillId="18" borderId="17" xfId="0" applyNumberFormat="1" applyFont="1" applyFill="1" applyBorder="1" applyAlignment="1">
      <alignment horizontal="center" vertical="center" wrapText="1"/>
    </xf>
    <xf numFmtId="2" fontId="17" fillId="18" borderId="170" xfId="0" applyNumberFormat="1" applyFont="1" applyFill="1" applyBorder="1" applyAlignment="1">
      <alignment horizontal="center" vertical="center" wrapText="1"/>
    </xf>
    <xf numFmtId="2" fontId="17" fillId="18" borderId="171" xfId="0" applyNumberFormat="1" applyFont="1" applyFill="1" applyBorder="1" applyAlignment="1">
      <alignment horizontal="center" vertical="center" wrapText="1"/>
    </xf>
    <xf numFmtId="2" fontId="24" fillId="18" borderId="126" xfId="0" applyNumberFormat="1" applyFont="1" applyFill="1" applyBorder="1" applyAlignment="1">
      <alignment horizontal="center" vertical="center" wrapText="1"/>
    </xf>
    <xf numFmtId="2" fontId="24" fillId="18" borderId="127" xfId="0" applyNumberFormat="1" applyFont="1" applyFill="1" applyBorder="1" applyAlignment="1">
      <alignment horizontal="center" vertical="center" wrapText="1"/>
    </xf>
    <xf numFmtId="2" fontId="24" fillId="18" borderId="132" xfId="0" applyNumberFormat="1" applyFont="1" applyFill="1" applyBorder="1" applyAlignment="1">
      <alignment horizontal="center" vertical="center" wrapText="1"/>
    </xf>
    <xf numFmtId="0" fontId="24" fillId="0" borderId="86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 wrapText="1"/>
    </xf>
    <xf numFmtId="0" fontId="24" fillId="0" borderId="91" xfId="0" applyFont="1" applyFill="1" applyBorder="1" applyAlignment="1">
      <alignment horizontal="center" vertical="center" wrapText="1"/>
    </xf>
    <xf numFmtId="0" fontId="17" fillId="18" borderId="164" xfId="0" applyFont="1" applyFill="1" applyBorder="1" applyAlignment="1">
      <alignment horizontal="center" vertical="center" wrapText="1"/>
    </xf>
    <xf numFmtId="0" fontId="17" fillId="18" borderId="165" xfId="0" applyFont="1" applyFill="1" applyBorder="1" applyAlignment="1">
      <alignment horizontal="center" vertical="center" wrapText="1"/>
    </xf>
    <xf numFmtId="0" fontId="17" fillId="18" borderId="159" xfId="0" applyFont="1" applyFill="1" applyBorder="1" applyAlignment="1">
      <alignment horizontal="center" vertical="center" wrapText="1"/>
    </xf>
    <xf numFmtId="2" fontId="17" fillId="18" borderId="160" xfId="0" applyNumberFormat="1" applyFont="1" applyFill="1" applyBorder="1" applyAlignment="1">
      <alignment horizontal="center" vertical="center"/>
    </xf>
    <xf numFmtId="2" fontId="17" fillId="18" borderId="169" xfId="0" applyNumberFormat="1" applyFont="1" applyFill="1" applyBorder="1" applyAlignment="1">
      <alignment horizontal="center" vertical="center" wrapText="1"/>
    </xf>
    <xf numFmtId="0" fontId="25" fillId="18" borderId="177" xfId="0" applyFont="1" applyFill="1" applyBorder="1" applyAlignment="1">
      <alignment horizontal="center" vertical="center" wrapText="1"/>
    </xf>
    <xf numFmtId="0" fontId="25" fillId="0" borderId="114" xfId="0" applyFont="1" applyFill="1" applyBorder="1" applyAlignment="1">
      <alignment horizontal="left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2" fontId="17" fillId="18" borderId="124" xfId="0" applyNumberFormat="1" applyFont="1" applyFill="1" applyBorder="1" applyAlignment="1">
      <alignment horizontal="center" vertical="center"/>
    </xf>
    <xf numFmtId="0" fontId="25" fillId="18" borderId="132" xfId="0" applyFont="1" applyFill="1" applyBorder="1" applyAlignment="1">
      <alignment horizontal="center" vertical="center" wrapText="1"/>
    </xf>
    <xf numFmtId="2" fontId="17" fillId="18" borderId="140" xfId="0" applyNumberFormat="1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 wrapText="1"/>
    </xf>
    <xf numFmtId="0" fontId="11" fillId="0" borderId="24" xfId="0" applyFont="1" applyBorder="1"/>
    <xf numFmtId="0" fontId="27" fillId="0" borderId="0" xfId="0" applyFont="1" applyAlignment="1">
      <alignment horizontal="center"/>
    </xf>
    <xf numFmtId="0" fontId="11" fillId="0" borderId="50" xfId="0" applyFont="1" applyBorder="1"/>
    <xf numFmtId="0" fontId="18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2" fontId="24" fillId="0" borderId="0" xfId="0" applyNumberFormat="1" applyFont="1" applyAlignment="1">
      <alignment horizontal="left" vertical="center" wrapText="1"/>
    </xf>
    <xf numFmtId="2" fontId="36" fillId="0" borderId="0" xfId="0" applyNumberFormat="1" applyFont="1" applyAlignment="1">
      <alignment horizontal="center" vertical="center" wrapText="1"/>
    </xf>
    <xf numFmtId="0" fontId="35" fillId="0" borderId="85" xfId="0" applyFont="1" applyBorder="1" applyAlignment="1">
      <alignment horizontal="center" vertical="center"/>
    </xf>
    <xf numFmtId="0" fontId="11" fillId="0" borderId="35" xfId="0" applyFont="1" applyBorder="1"/>
    <xf numFmtId="0" fontId="11" fillId="0" borderId="86" xfId="0" applyFont="1" applyBorder="1"/>
    <xf numFmtId="0" fontId="35" fillId="0" borderId="87" xfId="0" quotePrefix="1" applyFont="1" applyBorder="1" applyAlignment="1">
      <alignment horizontal="center" vertical="center"/>
    </xf>
    <xf numFmtId="0" fontId="11" fillId="0" borderId="88" xfId="0" applyFont="1" applyBorder="1"/>
    <xf numFmtId="0" fontId="35" fillId="4" borderId="89" xfId="0" applyFont="1" applyFill="1" applyBorder="1" applyAlignment="1">
      <alignment horizontal="center" vertical="center" wrapText="1"/>
    </xf>
    <xf numFmtId="0" fontId="11" fillId="0" borderId="90" xfId="0" applyFont="1" applyBorder="1"/>
    <xf numFmtId="0" fontId="11" fillId="0" borderId="91" xfId="0" applyFont="1" applyBorder="1"/>
    <xf numFmtId="0" fontId="35" fillId="4" borderId="92" xfId="0" applyFont="1" applyFill="1" applyBorder="1" applyAlignment="1">
      <alignment horizontal="center" vertical="center" wrapText="1"/>
    </xf>
    <xf numFmtId="0" fontId="11" fillId="0" borderId="48" xfId="0" applyFont="1" applyBorder="1"/>
    <xf numFmtId="0" fontId="11" fillId="0" borderId="93" xfId="0" applyFont="1" applyBorder="1"/>
    <xf numFmtId="0" fontId="35" fillId="4" borderId="94" xfId="0" applyFont="1" applyFill="1" applyBorder="1" applyAlignment="1">
      <alignment horizontal="center" vertical="center" wrapText="1"/>
    </xf>
    <xf numFmtId="0" fontId="11" fillId="0" borderId="49" xfId="0" applyFont="1" applyBorder="1"/>
    <xf numFmtId="0" fontId="22" fillId="0" borderId="99" xfId="0" applyFont="1" applyBorder="1" applyAlignment="1">
      <alignment horizontal="center"/>
    </xf>
    <xf numFmtId="0" fontId="11" fillId="0" borderId="100" xfId="0" applyFont="1" applyBorder="1"/>
    <xf numFmtId="0" fontId="11" fillId="0" borderId="101" xfId="0" applyFont="1" applyBorder="1"/>
    <xf numFmtId="0" fontId="22" fillId="0" borderId="104" xfId="0" applyFont="1" applyBorder="1" applyAlignment="1">
      <alignment horizontal="center"/>
    </xf>
    <xf numFmtId="0" fontId="11" fillId="0" borderId="105" xfId="0" applyFont="1" applyBorder="1"/>
    <xf numFmtId="0" fontId="11" fillId="0" borderId="106" xfId="0" applyFont="1" applyBorder="1"/>
    <xf numFmtId="0" fontId="35" fillId="4" borderId="95" xfId="0" applyFont="1" applyFill="1" applyBorder="1" applyAlignment="1">
      <alignment horizontal="center" vertical="center" wrapText="1"/>
    </xf>
    <xf numFmtId="0" fontId="11" fillId="0" borderId="31" xfId="0" applyFont="1" applyBorder="1"/>
    <xf numFmtId="0" fontId="11" fillId="0" borderId="96" xfId="0" applyFont="1" applyBorder="1"/>
    <xf numFmtId="0" fontId="35" fillId="4" borderId="44" xfId="0" applyFont="1" applyFill="1" applyBorder="1" applyAlignment="1">
      <alignment horizontal="center" vertical="center" wrapText="1"/>
    </xf>
    <xf numFmtId="0" fontId="11" fillId="0" borderId="32" xfId="0" applyFont="1" applyBorder="1"/>
    <xf numFmtId="0" fontId="10" fillId="5" borderId="46" xfId="0" applyFont="1" applyFill="1" applyBorder="1" applyAlignment="1">
      <alignment horizontal="right" vertical="top" wrapText="1"/>
    </xf>
    <xf numFmtId="0" fontId="11" fillId="0" borderId="47" xfId="0" applyFont="1" applyBorder="1"/>
    <xf numFmtId="0" fontId="10" fillId="12" borderId="46" xfId="0" applyFont="1" applyFill="1" applyBorder="1" applyAlignment="1">
      <alignment horizontal="right" vertical="top" wrapText="1"/>
    </xf>
    <xf numFmtId="0" fontId="17" fillId="18" borderId="25" xfId="0" applyFont="1" applyFill="1" applyBorder="1" applyAlignment="1">
      <alignment horizontal="right" vertical="center" wrapText="1"/>
    </xf>
    <xf numFmtId="2" fontId="39" fillId="18" borderId="25" xfId="0" applyNumberFormat="1" applyFont="1" applyFill="1" applyBorder="1" applyAlignment="1">
      <alignment horizontal="right" vertical="center" wrapText="1"/>
    </xf>
    <xf numFmtId="0" fontId="17" fillId="18" borderId="43" xfId="0" applyFont="1" applyFill="1" applyBorder="1" applyAlignment="1">
      <alignment horizontal="center" vertical="center" wrapText="1"/>
    </xf>
    <xf numFmtId="0" fontId="17" fillId="18" borderId="127" xfId="0" applyFont="1" applyFill="1" applyBorder="1" applyAlignment="1">
      <alignment horizontal="center" vertical="center" wrapText="1"/>
    </xf>
    <xf numFmtId="0" fontId="17" fillId="18" borderId="111" xfId="0" applyFont="1" applyFill="1" applyBorder="1" applyAlignment="1">
      <alignment horizontal="center" vertical="center" wrapText="1"/>
    </xf>
    <xf numFmtId="2" fontId="17" fillId="18" borderId="117" xfId="0" applyNumberFormat="1" applyFont="1" applyFill="1" applyBorder="1" applyAlignment="1">
      <alignment horizontal="right" vertical="center" wrapText="1"/>
    </xf>
    <xf numFmtId="0" fontId="17" fillId="18" borderId="129" xfId="0" applyFont="1" applyFill="1" applyBorder="1" applyAlignment="1">
      <alignment horizontal="center" vertical="center" wrapText="1"/>
    </xf>
    <xf numFmtId="0" fontId="17" fillId="18" borderId="142" xfId="0" applyFont="1" applyFill="1" applyBorder="1" applyAlignment="1">
      <alignment horizontal="center" vertical="center" wrapText="1"/>
    </xf>
    <xf numFmtId="0" fontId="17" fillId="18" borderId="121" xfId="0" applyFont="1" applyFill="1" applyBorder="1" applyAlignment="1">
      <alignment horizontal="center" vertical="center" wrapText="1"/>
    </xf>
    <xf numFmtId="0" fontId="17" fillId="18" borderId="184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00000000-0005-0000-0000-000001000000}"/>
    <cellStyle name="Porcentagem" xfId="2" builtinId="5"/>
  </cellStyles>
  <dxfs count="8"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10</xdr:row>
      <xdr:rowOff>0</xdr:rowOff>
    </xdr:from>
    <xdr:ext cx="28575" cy="9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10</xdr:row>
      <xdr:rowOff>0</xdr:rowOff>
    </xdr:from>
    <xdr:ext cx="38100" cy="9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38100" cy="9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38100" cy="95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14" name="Shape 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6" name="Shap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17" name="Shape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19" name="Shape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0" name="Shape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1" name="Shape 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2" name="Shape 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3" name="Shape 6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3" name="Shape 6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5" name="Shape 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6" name="Shape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37" name="Shape 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38" name="Shape 6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39" name="Shape 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28575" cy="9525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1" name="Shape 6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2" name="Shape 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3" name="Shape 6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4" name="Shape 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5" name="Shape 6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51" name="Shape 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18</xdr:row>
      <xdr:rowOff>0</xdr:rowOff>
    </xdr:from>
    <xdr:ext cx="38100" cy="9525"/>
    <xdr:sp macro="" textlink="">
      <xdr:nvSpPr>
        <xdr:cNvPr id="53" name="Shape 4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18</xdr:row>
      <xdr:rowOff>0</xdr:rowOff>
    </xdr:from>
    <xdr:ext cx="38100" cy="9525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9</xdr:row>
      <xdr:rowOff>0</xdr:rowOff>
    </xdr:from>
    <xdr:ext cx="38100" cy="9525"/>
    <xdr:sp macro="" textlink="">
      <xdr:nvSpPr>
        <xdr:cNvPr id="72" name="Shape 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9</xdr:row>
      <xdr:rowOff>0</xdr:rowOff>
    </xdr:from>
    <xdr:ext cx="28575" cy="9525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1095375</xdr:colOff>
      <xdr:row>0</xdr:row>
      <xdr:rowOff>123825</xdr:rowOff>
    </xdr:from>
    <xdr:ext cx="504825" cy="847725"/>
    <xdr:pic>
      <xdr:nvPicPr>
        <xdr:cNvPr id="77" name="image1.png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66675</xdr:rowOff>
    </xdr:from>
    <xdr:ext cx="962025" cy="866775"/>
    <xdr:pic>
      <xdr:nvPicPr>
        <xdr:cNvPr id="78" name="image2.png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11</xdr:row>
      <xdr:rowOff>209550</xdr:rowOff>
    </xdr:from>
    <xdr:ext cx="28575" cy="95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12</xdr:row>
      <xdr:rowOff>0</xdr:rowOff>
    </xdr:from>
    <xdr:ext cx="38100" cy="95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12</xdr:row>
      <xdr:rowOff>0</xdr:rowOff>
    </xdr:from>
    <xdr:ext cx="323850" cy="3238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184075" y="3618075"/>
          <a:ext cx="323850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12</xdr:row>
      <xdr:rowOff>0</xdr:rowOff>
    </xdr:from>
    <xdr:ext cx="38100" cy="9525"/>
    <xdr:sp macro="" textlink="">
      <xdr:nvSpPr>
        <xdr:cNvPr id="2" name="Shape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12</xdr:row>
      <xdr:rowOff>0</xdr:rowOff>
    </xdr:from>
    <xdr:ext cx="28575" cy="95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12</xdr:row>
      <xdr:rowOff>0</xdr:rowOff>
    </xdr:from>
    <xdr:ext cx="28575" cy="9525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-19050</xdr:colOff>
      <xdr:row>12</xdr:row>
      <xdr:rowOff>0</xdr:rowOff>
    </xdr:from>
    <xdr:ext cx="38100" cy="9525"/>
    <xdr:sp macro="" textlink="">
      <xdr:nvSpPr>
        <xdr:cNvPr id="4" name="Shap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</xdr:col>
      <xdr:colOff>-9525</xdr:colOff>
      <xdr:row>12</xdr:row>
      <xdr:rowOff>0</xdr:rowOff>
    </xdr:from>
    <xdr:ext cx="28575" cy="9525"/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12</xdr:row>
      <xdr:rowOff>0</xdr:rowOff>
    </xdr:from>
    <xdr:ext cx="28575" cy="9525"/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12</xdr:row>
      <xdr:rowOff>0</xdr:rowOff>
    </xdr:from>
    <xdr:ext cx="28575" cy="9525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11</xdr:row>
      <xdr:rowOff>0</xdr:rowOff>
    </xdr:from>
    <xdr:ext cx="28575" cy="952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-19050</xdr:colOff>
      <xdr:row>11</xdr:row>
      <xdr:rowOff>0</xdr:rowOff>
    </xdr:from>
    <xdr:ext cx="38100" cy="952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-9525</xdr:colOff>
      <xdr:row>11</xdr:row>
      <xdr:rowOff>0</xdr:rowOff>
    </xdr:from>
    <xdr:ext cx="28575" cy="9525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11</xdr:row>
      <xdr:rowOff>0</xdr:rowOff>
    </xdr:from>
    <xdr:ext cx="28575" cy="952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11</xdr:row>
      <xdr:rowOff>0</xdr:rowOff>
    </xdr:from>
    <xdr:ext cx="28575" cy="952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8</xdr:row>
      <xdr:rowOff>0</xdr:rowOff>
    </xdr:from>
    <xdr:ext cx="38100" cy="952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</xdr:row>
      <xdr:rowOff>0</xdr:rowOff>
    </xdr:from>
    <xdr:ext cx="28575" cy="9525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8</xdr:row>
      <xdr:rowOff>0</xdr:rowOff>
    </xdr:from>
    <xdr:ext cx="28575" cy="9525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8</xdr:row>
      <xdr:rowOff>0</xdr:rowOff>
    </xdr:from>
    <xdr:ext cx="28575" cy="9525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38100" cy="9525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38100" cy="95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-9525</xdr:colOff>
      <xdr:row>8</xdr:row>
      <xdr:rowOff>0</xdr:rowOff>
    </xdr:from>
    <xdr:ext cx="28575" cy="95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8</xdr:row>
      <xdr:rowOff>0</xdr:rowOff>
    </xdr:from>
    <xdr:ext cx="38100" cy="9525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-9525</xdr:colOff>
      <xdr:row>8</xdr:row>
      <xdr:rowOff>0</xdr:rowOff>
    </xdr:from>
    <xdr:ext cx="28575" cy="95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8</xdr:row>
      <xdr:rowOff>0</xdr:rowOff>
    </xdr:from>
    <xdr:ext cx="38100" cy="952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-19050</xdr:colOff>
      <xdr:row>8</xdr:row>
      <xdr:rowOff>0</xdr:rowOff>
    </xdr:from>
    <xdr:ext cx="38100" cy="9525"/>
    <xdr:sp macro="" textlink="">
      <xdr:nvSpPr>
        <xdr:cNvPr id="37" name="Shape 4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8</xdr:row>
      <xdr:rowOff>0</xdr:rowOff>
    </xdr:from>
    <xdr:ext cx="28575" cy="9525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8</xdr:row>
      <xdr:rowOff>0</xdr:rowOff>
    </xdr:from>
    <xdr:ext cx="28575" cy="9525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8</xdr:row>
      <xdr:rowOff>0</xdr:rowOff>
    </xdr:from>
    <xdr:ext cx="28575" cy="9525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38100" cy="9525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38100" cy="9525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-9525</xdr:colOff>
      <xdr:row>8</xdr:row>
      <xdr:rowOff>0</xdr:rowOff>
    </xdr:from>
    <xdr:ext cx="28575" cy="9525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8</xdr:row>
      <xdr:rowOff>0</xdr:rowOff>
    </xdr:from>
    <xdr:ext cx="38100" cy="9525"/>
    <xdr:sp macro="" textlink="">
      <xdr:nvSpPr>
        <xdr:cNvPr id="44" name="Shape 4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-9525</xdr:colOff>
      <xdr:row>8</xdr:row>
      <xdr:rowOff>0</xdr:rowOff>
    </xdr:from>
    <xdr:ext cx="28575" cy="9525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8</xdr:row>
      <xdr:rowOff>0</xdr:rowOff>
    </xdr:from>
    <xdr:ext cx="38100" cy="9525"/>
    <xdr:sp macro="" textlink="">
      <xdr:nvSpPr>
        <xdr:cNvPr id="50" name="Shape 4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8</xdr:row>
      <xdr:rowOff>0</xdr:rowOff>
    </xdr:from>
    <xdr:ext cx="28575" cy="9525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-9525</xdr:colOff>
      <xdr:row>8</xdr:row>
      <xdr:rowOff>0</xdr:rowOff>
    </xdr:from>
    <xdr:ext cx="28575" cy="9525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714375</xdr:colOff>
      <xdr:row>0</xdr:row>
      <xdr:rowOff>66675</xdr:rowOff>
    </xdr:from>
    <xdr:ext cx="628650" cy="952500"/>
    <xdr:pic>
      <xdr:nvPicPr>
        <xdr:cNvPr id="55" name="image1.png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0</xdr:row>
      <xdr:rowOff>47625</xdr:rowOff>
    </xdr:from>
    <xdr:ext cx="866775" cy="819150"/>
    <xdr:pic>
      <xdr:nvPicPr>
        <xdr:cNvPr id="56" name="image2.png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714375</xdr:colOff>
      <xdr:row>0</xdr:row>
      <xdr:rowOff>66675</xdr:rowOff>
    </xdr:from>
    <xdr:ext cx="628650" cy="952500"/>
    <xdr:pic>
      <xdr:nvPicPr>
        <xdr:cNvPr id="57" name="image1.png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152400</xdr:colOff>
      <xdr:row>0</xdr:row>
      <xdr:rowOff>47625</xdr:rowOff>
    </xdr:from>
    <xdr:ext cx="866775" cy="819150"/>
    <xdr:pic>
      <xdr:nvPicPr>
        <xdr:cNvPr id="58" name="image2.png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-9525</xdr:colOff>
      <xdr:row>10</xdr:row>
      <xdr:rowOff>0</xdr:rowOff>
    </xdr:from>
    <xdr:ext cx="28575" cy="9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10</xdr:row>
      <xdr:rowOff>0</xdr:rowOff>
    </xdr:from>
    <xdr:ext cx="38100" cy="9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</xdr:row>
      <xdr:rowOff>0</xdr:rowOff>
    </xdr:from>
    <xdr:ext cx="38100" cy="95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-19050</xdr:colOff>
      <xdr:row>9</xdr:row>
      <xdr:rowOff>0</xdr:rowOff>
    </xdr:from>
    <xdr:ext cx="38100" cy="9525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-9525</xdr:colOff>
      <xdr:row>9</xdr:row>
      <xdr:rowOff>0</xdr:rowOff>
    </xdr:from>
    <xdr:ext cx="28575" cy="9525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</xdr:row>
      <xdr:rowOff>0</xdr:rowOff>
    </xdr:from>
    <xdr:ext cx="38100" cy="9525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</xdr:row>
      <xdr:rowOff>0</xdr:rowOff>
    </xdr:from>
    <xdr:ext cx="38100" cy="952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</xdr:row>
      <xdr:rowOff>0</xdr:rowOff>
    </xdr:from>
    <xdr:ext cx="38100" cy="952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-9525</xdr:colOff>
      <xdr:row>9</xdr:row>
      <xdr:rowOff>0</xdr:rowOff>
    </xdr:from>
    <xdr:ext cx="28575" cy="9525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-19050</xdr:colOff>
      <xdr:row>9</xdr:row>
      <xdr:rowOff>0</xdr:rowOff>
    </xdr:from>
    <xdr:ext cx="38100" cy="9525"/>
    <xdr:sp macro="" textlink="">
      <xdr:nvSpPr>
        <xdr:cNvPr id="33" name="Shape 4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5346000" y="3775238"/>
          <a:ext cx="0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-9525</xdr:colOff>
      <xdr:row>9</xdr:row>
      <xdr:rowOff>0</xdr:rowOff>
    </xdr:from>
    <xdr:ext cx="28575" cy="9525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-9525</xdr:colOff>
      <xdr:row>9</xdr:row>
      <xdr:rowOff>0</xdr:rowOff>
    </xdr:from>
    <xdr:ext cx="28575" cy="9525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5341238" y="3775238"/>
          <a:ext cx="9525" cy="9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76200</xdr:colOff>
      <xdr:row>0</xdr:row>
      <xdr:rowOff>57150</xdr:rowOff>
    </xdr:from>
    <xdr:ext cx="619125" cy="657225"/>
    <xdr:pic>
      <xdr:nvPicPr>
        <xdr:cNvPr id="38" name="image1.png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</xdr:rowOff>
    </xdr:from>
    <xdr:ext cx="771525" cy="685800"/>
    <xdr:pic>
      <xdr:nvPicPr>
        <xdr:cNvPr id="39" name="image2.png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76200</xdr:rowOff>
    </xdr:from>
    <xdr:ext cx="847725" cy="78105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76200</xdr:rowOff>
    </xdr:from>
    <xdr:ext cx="819150" cy="8191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0</xdr:row>
      <xdr:rowOff>104775</xdr:rowOff>
    </xdr:from>
    <xdr:ext cx="981075" cy="666750"/>
    <xdr:pic>
      <xdr:nvPicPr>
        <xdr:cNvPr id="3" name="image3.png" descr="ScreenShot00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FAM\Muro%20L&#225;brea\Projetos%20Muro%20Area%20alagada\arquivosemcadmurolbrea\Planilha%20Or&#231;ament&#225;ria%20-%20Campus%20L&#225;brea%20-%20Muro%20de%20Cercamento_REV_08_Rev06_COM%20AREA%20ALAG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.Orçamento Global"/>
      <sheetName val="002.Orçamento Analítico"/>
      <sheetName val="004. Cronograma Físico-Financ."/>
      <sheetName val="003. Composições Unit. novas"/>
      <sheetName val="009.MEMÓRIA DE CALC."/>
      <sheetName val="007.ANEXO I"/>
      <sheetName val="Base I"/>
      <sheetName val="Base II"/>
      <sheetName val="Resumo Levant."/>
      <sheetName val="008.ANEXO II"/>
      <sheetName val="Base 1"/>
      <sheetName val="Resumo Aço"/>
      <sheetName val="005. Leis Sociais"/>
      <sheetName val="006. BDI"/>
    </sheetNames>
    <sheetDataSet>
      <sheetData sheetId="0">
        <row r="10">
          <cell r="D10" t="str">
            <v xml:space="preserve">GERENCIAMENTO DE OBRAS/FISCALIZAÇÃO </v>
          </cell>
          <cell r="E10">
            <v>55017.36</v>
          </cell>
        </row>
        <row r="11">
          <cell r="D11" t="str">
            <v>SERVIÇOS PRELIMINARES/TÉCNICOS</v>
          </cell>
          <cell r="E11">
            <v>23521.670000000002</v>
          </cell>
        </row>
        <row r="12">
          <cell r="D12" t="str">
            <v>TRANSPORTES DE MATERIAIS</v>
          </cell>
          <cell r="E12">
            <v>36322.199999999997</v>
          </cell>
        </row>
        <row r="13">
          <cell r="D13" t="str">
            <v>MOVIMENTO DE TERRA</v>
          </cell>
          <cell r="E13">
            <v>10765.06</v>
          </cell>
        </row>
        <row r="14">
          <cell r="D14" t="str">
            <v>INFRAESTRUTURA</v>
          </cell>
          <cell r="E14">
            <v>74164.95</v>
          </cell>
        </row>
        <row r="15">
          <cell r="D15" t="str">
            <v>SAPATAS</v>
          </cell>
          <cell r="E15">
            <v>20295.45</v>
          </cell>
        </row>
        <row r="16">
          <cell r="D16" t="str">
            <v>ARRANQUE - VIGA BALDRAME</v>
          </cell>
          <cell r="E16">
            <v>53869.499999999993</v>
          </cell>
        </row>
        <row r="17">
          <cell r="D17" t="str">
            <v>SUPRAESTRUTURA</v>
          </cell>
          <cell r="E17">
            <v>88389.959999999992</v>
          </cell>
        </row>
        <row r="18">
          <cell r="D18" t="str">
            <v>VIGA COBERTURA  - PILARES</v>
          </cell>
          <cell r="E18">
            <v>88389.959999999992</v>
          </cell>
        </row>
        <row r="19">
          <cell r="D19" t="str">
            <v>ALVENARIA/VEDAÇÃO/DIVISÓRIA</v>
          </cell>
          <cell r="E19">
            <v>73757.489999999991</v>
          </cell>
        </row>
        <row r="20">
          <cell r="D20" t="str">
            <v>IMPERMEABILIZAÇÃO</v>
          </cell>
          <cell r="E20">
            <v>1738.03</v>
          </cell>
        </row>
        <row r="21">
          <cell r="D21" t="str">
            <v>REVESTIMENTOS</v>
          </cell>
          <cell r="E21">
            <v>100059.93</v>
          </cell>
        </row>
        <row r="22">
          <cell r="D22" t="str">
            <v>PINTURAS</v>
          </cell>
          <cell r="E22">
            <v>36138.07</v>
          </cell>
        </row>
        <row r="23">
          <cell r="D23" t="str">
            <v>ESQUADRIAS METÁLICAS</v>
          </cell>
          <cell r="E23">
            <v>9087.19</v>
          </cell>
        </row>
        <row r="24">
          <cell r="D24" t="str">
            <v>SERVIÇOS FINAIS</v>
          </cell>
          <cell r="E24">
            <v>2982.08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showGridLines="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defaultColWidth="14.44140625" defaultRowHeight="15" customHeight="1" x14ac:dyDescent="0.3"/>
  <cols>
    <col min="1" max="1" width="2.88671875" customWidth="1"/>
    <col min="2" max="2" width="70" hidden="1" customWidth="1"/>
    <col min="3" max="3" width="9.33203125" customWidth="1"/>
    <col min="4" max="4" width="55.109375" customWidth="1"/>
    <col min="5" max="5" width="11.88671875" customWidth="1"/>
    <col min="6" max="6" width="10.109375" customWidth="1"/>
    <col min="7" max="7" width="11" customWidth="1"/>
    <col min="8" max="8" width="8" customWidth="1"/>
    <col min="9" max="9" width="10.44140625" customWidth="1"/>
    <col min="10" max="10" width="8" customWidth="1"/>
    <col min="11" max="11" width="10.44140625" customWidth="1"/>
    <col min="12" max="12" width="8" customWidth="1"/>
    <col min="13" max="13" width="10.44140625" customWidth="1"/>
    <col min="14" max="14" width="8" customWidth="1"/>
    <col min="15" max="15" width="10.44140625" customWidth="1"/>
    <col min="16" max="16" width="8.88671875" customWidth="1"/>
    <col min="17" max="17" width="11.88671875" customWidth="1"/>
    <col min="18" max="18" width="8.88671875" customWidth="1"/>
    <col min="19" max="19" width="6" hidden="1" customWidth="1"/>
    <col min="20" max="20" width="8" hidden="1" customWidth="1"/>
    <col min="21" max="21" width="11.88671875" hidden="1" customWidth="1"/>
    <col min="22" max="22" width="12.44140625" hidden="1" customWidth="1"/>
    <col min="23" max="26" width="9.109375" customWidth="1"/>
  </cols>
  <sheetData>
    <row r="1" spans="1:26" ht="16.5" customHeight="1" x14ac:dyDescent="0.3">
      <c r="A1" s="2"/>
      <c r="B1" s="9"/>
      <c r="C1" s="3"/>
      <c r="D1" s="10"/>
      <c r="E1" s="2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2" t="s">
        <v>0</v>
      </c>
      <c r="R1" s="5" t="s">
        <v>39</v>
      </c>
      <c r="S1" s="10"/>
      <c r="T1" s="10"/>
      <c r="U1" s="10"/>
      <c r="V1" s="10"/>
      <c r="W1" s="10"/>
      <c r="X1" s="10"/>
      <c r="Y1" s="10"/>
      <c r="Z1" s="10"/>
    </row>
    <row r="2" spans="1:26" ht="16.5" customHeight="1" x14ac:dyDescent="0.3">
      <c r="A2" s="2"/>
      <c r="B2" s="9"/>
      <c r="C2" s="3" t="s">
        <v>40</v>
      </c>
      <c r="D2" s="10"/>
      <c r="E2" s="2"/>
      <c r="F2" s="10"/>
      <c r="G2" s="10"/>
      <c r="H2" s="11"/>
      <c r="I2" s="10"/>
      <c r="J2" s="10"/>
      <c r="K2" s="10"/>
      <c r="L2" s="10"/>
      <c r="M2" s="10"/>
      <c r="N2" s="10"/>
      <c r="O2" s="10"/>
      <c r="P2" s="10"/>
      <c r="Q2" s="12" t="s">
        <v>1</v>
      </c>
      <c r="R2" s="5" t="s">
        <v>41</v>
      </c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3">
      <c r="A3" s="2"/>
      <c r="B3" s="9"/>
      <c r="C3" s="3" t="s">
        <v>42</v>
      </c>
      <c r="D3" s="1"/>
      <c r="E3" s="2"/>
      <c r="F3" s="10"/>
      <c r="G3" s="10"/>
      <c r="H3" s="11"/>
      <c r="I3" s="10"/>
      <c r="J3" s="10"/>
      <c r="K3" s="10"/>
      <c r="L3" s="10"/>
      <c r="M3" s="10"/>
      <c r="N3" s="10"/>
      <c r="O3" s="10"/>
      <c r="P3" s="10"/>
      <c r="Q3" s="12" t="s">
        <v>2</v>
      </c>
      <c r="R3" s="6">
        <v>0.84809999999999997</v>
      </c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3">
      <c r="A4" s="2"/>
      <c r="B4" s="9"/>
      <c r="C4" s="2"/>
      <c r="D4" s="2"/>
      <c r="E4" s="2"/>
      <c r="F4" s="10"/>
      <c r="G4" s="10"/>
      <c r="H4" s="11"/>
      <c r="I4" s="10"/>
      <c r="J4" s="10"/>
      <c r="K4" s="10"/>
      <c r="L4" s="10"/>
      <c r="M4" s="10"/>
      <c r="N4" s="10"/>
      <c r="O4" s="10"/>
      <c r="P4" s="10"/>
      <c r="Q4" s="12" t="s">
        <v>3</v>
      </c>
      <c r="R4" s="6">
        <v>0.48070000000000002</v>
      </c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3">
      <c r="A5" s="2"/>
      <c r="B5" s="9"/>
      <c r="C5" s="2"/>
      <c r="D5" s="2"/>
      <c r="E5" s="2"/>
      <c r="F5" s="10"/>
      <c r="G5" s="10"/>
      <c r="H5" s="11"/>
      <c r="I5" s="10"/>
      <c r="J5" s="10"/>
      <c r="K5" s="10"/>
      <c r="L5" s="10"/>
      <c r="M5" s="10"/>
      <c r="N5" s="10"/>
      <c r="O5" s="10"/>
      <c r="P5" s="10"/>
      <c r="Q5" s="12" t="s">
        <v>4</v>
      </c>
      <c r="R5" s="6">
        <v>0.28349999999999997</v>
      </c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3">
      <c r="A6" s="7"/>
      <c r="B6" s="9"/>
      <c r="C6" s="8" t="s">
        <v>43</v>
      </c>
      <c r="D6" s="13"/>
      <c r="E6" s="7"/>
      <c r="F6" s="10"/>
      <c r="G6" s="10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6.5" customHeight="1" x14ac:dyDescent="0.3">
      <c r="A7" s="10"/>
      <c r="B7" s="14"/>
      <c r="C7" s="10"/>
      <c r="D7" s="10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x14ac:dyDescent="0.3">
      <c r="A8" s="15"/>
      <c r="B8" s="14"/>
      <c r="C8" s="16"/>
      <c r="D8" s="17"/>
      <c r="E8" s="18"/>
      <c r="F8" s="18"/>
      <c r="G8" s="19" t="s">
        <v>44</v>
      </c>
      <c r="H8" s="20">
        <v>15</v>
      </c>
      <c r="I8" s="19" t="s">
        <v>44</v>
      </c>
      <c r="J8" s="20">
        <f>H8+15</f>
        <v>30</v>
      </c>
      <c r="K8" s="19" t="s">
        <v>44</v>
      </c>
      <c r="L8" s="20">
        <f>J8+15</f>
        <v>45</v>
      </c>
      <c r="M8" s="19" t="s">
        <v>44</v>
      </c>
      <c r="N8" s="20">
        <f>L8+15</f>
        <v>60</v>
      </c>
      <c r="O8" s="19" t="s">
        <v>44</v>
      </c>
      <c r="P8" s="20">
        <f>N8+15</f>
        <v>75</v>
      </c>
      <c r="Q8" s="19" t="s">
        <v>44</v>
      </c>
      <c r="R8" s="20">
        <f>P8+15</f>
        <v>90</v>
      </c>
      <c r="S8" s="15"/>
      <c r="T8" s="15"/>
      <c r="U8" s="15"/>
      <c r="V8" s="15"/>
      <c r="W8" s="15"/>
      <c r="X8" s="15"/>
      <c r="Y8" s="15"/>
      <c r="Z8" s="15"/>
    </row>
    <row r="9" spans="1:26" ht="16.5" customHeight="1" x14ac:dyDescent="0.3">
      <c r="A9" s="15"/>
      <c r="B9" s="14"/>
      <c r="C9" s="21" t="s">
        <v>5</v>
      </c>
      <c r="D9" s="22" t="s">
        <v>45</v>
      </c>
      <c r="E9" s="23" t="s">
        <v>46</v>
      </c>
      <c r="F9" s="23" t="s">
        <v>47</v>
      </c>
      <c r="G9" s="19" t="s">
        <v>48</v>
      </c>
      <c r="H9" s="20" t="s">
        <v>49</v>
      </c>
      <c r="I9" s="19" t="s">
        <v>48</v>
      </c>
      <c r="J9" s="20" t="s">
        <v>49</v>
      </c>
      <c r="K9" s="19" t="s">
        <v>48</v>
      </c>
      <c r="L9" s="20" t="s">
        <v>49</v>
      </c>
      <c r="M9" s="19" t="s">
        <v>48</v>
      </c>
      <c r="N9" s="20" t="s">
        <v>49</v>
      </c>
      <c r="O9" s="19" t="s">
        <v>48</v>
      </c>
      <c r="P9" s="20" t="s">
        <v>49</v>
      </c>
      <c r="Q9" s="19" t="s">
        <v>48</v>
      </c>
      <c r="R9" s="20" t="s">
        <v>49</v>
      </c>
      <c r="S9" s="15"/>
      <c r="T9" s="15"/>
      <c r="U9" s="15"/>
      <c r="V9" s="15"/>
      <c r="W9" s="15"/>
      <c r="X9" s="15"/>
      <c r="Y9" s="15"/>
      <c r="Z9" s="15"/>
    </row>
    <row r="10" spans="1:26" ht="16.5" customHeight="1" x14ac:dyDescent="0.3">
      <c r="A10" s="15"/>
      <c r="B10" s="14"/>
      <c r="C10" s="24"/>
      <c r="D10" s="25"/>
      <c r="E10" s="26" t="s">
        <v>50</v>
      </c>
      <c r="F10" s="26" t="s">
        <v>50</v>
      </c>
      <c r="G10" s="27" t="s">
        <v>51</v>
      </c>
      <c r="H10" s="28" t="s">
        <v>47</v>
      </c>
      <c r="I10" s="27" t="s">
        <v>51</v>
      </c>
      <c r="J10" s="28" t="s">
        <v>47</v>
      </c>
      <c r="K10" s="27" t="s">
        <v>51</v>
      </c>
      <c r="L10" s="28" t="s">
        <v>47</v>
      </c>
      <c r="M10" s="27" t="s">
        <v>51</v>
      </c>
      <c r="N10" s="28" t="s">
        <v>47</v>
      </c>
      <c r="O10" s="27" t="s">
        <v>51</v>
      </c>
      <c r="P10" s="28" t="s">
        <v>47</v>
      </c>
      <c r="Q10" s="27" t="s">
        <v>51</v>
      </c>
      <c r="R10" s="28" t="s">
        <v>47</v>
      </c>
      <c r="S10" s="15"/>
      <c r="T10" s="15"/>
      <c r="U10" s="15"/>
      <c r="V10" s="15"/>
      <c r="W10" s="15"/>
      <c r="X10" s="15"/>
      <c r="Y10" s="15"/>
      <c r="Z10" s="15"/>
    </row>
    <row r="11" spans="1:26" ht="7.5" customHeight="1" x14ac:dyDescent="0.3">
      <c r="A11" s="29"/>
      <c r="B11" s="14"/>
      <c r="C11" s="30"/>
      <c r="D11" s="31"/>
      <c r="E11" s="32"/>
      <c r="F11" s="33"/>
      <c r="G11" s="32"/>
      <c r="H11" s="33"/>
      <c r="I11" s="32"/>
      <c r="J11" s="33"/>
      <c r="K11" s="32"/>
      <c r="L11" s="33"/>
      <c r="M11" s="32"/>
      <c r="N11" s="33"/>
      <c r="O11" s="32"/>
      <c r="P11" s="33"/>
      <c r="Q11" s="32"/>
      <c r="R11" s="33"/>
      <c r="S11" s="29"/>
      <c r="T11" s="29"/>
      <c r="U11" s="29"/>
      <c r="V11" s="29"/>
      <c r="W11" s="29"/>
      <c r="X11" s="29"/>
      <c r="Y11" s="29"/>
      <c r="Z11" s="29"/>
    </row>
    <row r="12" spans="1:26" ht="16.5" customHeight="1" x14ac:dyDescent="0.3">
      <c r="A12" s="29"/>
      <c r="B12" s="14" t="s">
        <v>12</v>
      </c>
      <c r="C12" s="30" t="s">
        <v>52</v>
      </c>
      <c r="D12" s="31" t="s">
        <v>12</v>
      </c>
      <c r="E12" s="32" t="e">
        <f>IF(B12="","",SUMIF('[1]001.Orçamento Global'!$D$10:$D$24,'004. Cronograma Físico-Financ.'!B12,'[1]001.Orçamento Global'!$E$10:$E$24))</f>
        <v>#VALUE!</v>
      </c>
      <c r="F12" s="33" t="e">
        <f>E12/$E$47</f>
        <v>#VALUE!</v>
      </c>
      <c r="G12" s="32" t="e">
        <f>IF(H12&lt;&gt;"",$E12*H12,"")</f>
        <v>#VALUE!</v>
      </c>
      <c r="H12" s="33">
        <f>1/6</f>
        <v>0.16666666666666666</v>
      </c>
      <c r="I12" s="32" t="e">
        <f>IF(J12&lt;&gt;"",$E12*J12,"")</f>
        <v>#VALUE!</v>
      </c>
      <c r="J12" s="33">
        <f>1/6</f>
        <v>0.16666666666666666</v>
      </c>
      <c r="K12" s="32" t="e">
        <f>IF(L12&lt;&gt;"",$E12*L12,"")</f>
        <v>#VALUE!</v>
      </c>
      <c r="L12" s="33">
        <f>1/6</f>
        <v>0.16666666666666666</v>
      </c>
      <c r="M12" s="32" t="e">
        <f>IF(N12&lt;&gt;"",$E12*N12,"")</f>
        <v>#VALUE!</v>
      </c>
      <c r="N12" s="33">
        <f>1/6</f>
        <v>0.16666666666666666</v>
      </c>
      <c r="O12" s="32" t="e">
        <f>IF(P12&lt;&gt;"",$E12*P12,"")</f>
        <v>#VALUE!</v>
      </c>
      <c r="P12" s="33">
        <f>1/6</f>
        <v>0.16666666666666666</v>
      </c>
      <c r="Q12" s="32" t="e">
        <f>IF(R12&lt;&gt;"",$E12*R12,"")</f>
        <v>#VALUE!</v>
      </c>
      <c r="R12" s="33">
        <f>1/6</f>
        <v>0.16666666666666666</v>
      </c>
      <c r="S12" s="34"/>
      <c r="T12" s="34" t="e">
        <f>SUM(H12,J12,L12,N12,P12,R12,#REF!,#REF!,#REF!,#REF!)</f>
        <v>#REF!</v>
      </c>
      <c r="U12" s="35" t="e">
        <f>SUM(G12,I12,K12,M12,O12,Q12,#REF!,#REF!,#REF!,#REF!)</f>
        <v>#REF!</v>
      </c>
      <c r="V12" s="29" t="e">
        <f>E12=U12</f>
        <v>#VALUE!</v>
      </c>
      <c r="W12" s="29"/>
      <c r="X12" s="29"/>
      <c r="Y12" s="29"/>
      <c r="Z12" s="29"/>
    </row>
    <row r="13" spans="1:26" ht="7.5" customHeight="1" x14ac:dyDescent="0.3">
      <c r="A13" s="29"/>
      <c r="B13" s="14"/>
      <c r="C13" s="30"/>
      <c r="D13" s="31"/>
      <c r="E13" s="32" t="str">
        <f>IF(B13="","",SUMIF('[1]001.Orçamento Global'!$D$10:$D$24,'004. Cronograma Físico-Financ.'!B13,'[1]001.Orçamento Global'!$E$10:$E$24))</f>
        <v/>
      </c>
      <c r="F13" s="33"/>
      <c r="G13" s="32" t="e">
        <f t="shared" ref="G13:R13" si="0">IF(G12&lt;&gt;"",1,"")</f>
        <v>#VALUE!</v>
      </c>
      <c r="H13" s="32">
        <f t="shared" si="0"/>
        <v>1</v>
      </c>
      <c r="I13" s="32" t="e">
        <f t="shared" si="0"/>
        <v>#VALUE!</v>
      </c>
      <c r="J13" s="33">
        <f t="shared" si="0"/>
        <v>1</v>
      </c>
      <c r="K13" s="32" t="e">
        <f t="shared" si="0"/>
        <v>#VALUE!</v>
      </c>
      <c r="L13" s="33">
        <f t="shared" si="0"/>
        <v>1</v>
      </c>
      <c r="M13" s="32" t="e">
        <f t="shared" si="0"/>
        <v>#VALUE!</v>
      </c>
      <c r="N13" s="33">
        <f t="shared" si="0"/>
        <v>1</v>
      </c>
      <c r="O13" s="32" t="e">
        <f t="shared" si="0"/>
        <v>#VALUE!</v>
      </c>
      <c r="P13" s="33">
        <f t="shared" si="0"/>
        <v>1</v>
      </c>
      <c r="Q13" s="32" t="e">
        <f t="shared" si="0"/>
        <v>#VALUE!</v>
      </c>
      <c r="R13" s="33">
        <f t="shared" si="0"/>
        <v>1</v>
      </c>
      <c r="S13" s="34"/>
      <c r="T13" s="34"/>
      <c r="U13" s="29"/>
      <c r="V13" s="29"/>
      <c r="W13" s="29"/>
      <c r="X13" s="29"/>
      <c r="Y13" s="29"/>
      <c r="Z13" s="29"/>
    </row>
    <row r="14" spans="1:26" ht="7.5" customHeight="1" x14ac:dyDescent="0.3">
      <c r="A14" s="29"/>
      <c r="B14" s="14"/>
      <c r="C14" s="36"/>
      <c r="D14" s="37"/>
      <c r="E14" s="38" t="str">
        <f>IF(B14="","",SUMIF('[1]001.Orçamento Global'!$D$10:$D$24,'004. Cronograma Físico-Financ.'!B14,'[1]001.Orçamento Global'!$E$10:$E$24))</f>
        <v/>
      </c>
      <c r="F14" s="39"/>
      <c r="G14" s="38"/>
      <c r="H14" s="39"/>
      <c r="I14" s="38"/>
      <c r="J14" s="39"/>
      <c r="K14" s="38"/>
      <c r="L14" s="39"/>
      <c r="M14" s="38"/>
      <c r="N14" s="39"/>
      <c r="O14" s="38"/>
      <c r="P14" s="39"/>
      <c r="Q14" s="38"/>
      <c r="R14" s="39"/>
      <c r="S14" s="29"/>
      <c r="T14" s="29"/>
      <c r="U14" s="29"/>
      <c r="V14" s="29"/>
      <c r="W14" s="29"/>
      <c r="X14" s="29"/>
      <c r="Y14" s="29"/>
      <c r="Z14" s="29"/>
    </row>
    <row r="15" spans="1:26" ht="16.5" customHeight="1" x14ac:dyDescent="0.3">
      <c r="A15" s="29"/>
      <c r="B15" s="40" t="s">
        <v>15</v>
      </c>
      <c r="C15" s="36" t="s">
        <v>53</v>
      </c>
      <c r="D15" s="37" t="s">
        <v>15</v>
      </c>
      <c r="E15" s="38" t="e">
        <f>IF(B15="","",SUMIF('[1]001.Orçamento Global'!$D$10:$D$24,'004. Cronograma Físico-Financ.'!B15,'[1]001.Orçamento Global'!$E$10:$E$24))</f>
        <v>#VALUE!</v>
      </c>
      <c r="F15" s="39" t="e">
        <f>E15/$E$47</f>
        <v>#VALUE!</v>
      </c>
      <c r="G15" s="38" t="e">
        <f>IF(H15&lt;&gt;"",$E15*H15,"")</f>
        <v>#VALUE!</v>
      </c>
      <c r="H15" s="39">
        <v>0.85</v>
      </c>
      <c r="I15" s="38" t="e">
        <f>IF(J15&lt;&gt;"",$E15*J15,"")</f>
        <v>#VALUE!</v>
      </c>
      <c r="J15" s="39">
        <v>0.15</v>
      </c>
      <c r="K15" s="38" t="str">
        <f>IF(L15&lt;&gt;"",$E15*L15,"")</f>
        <v/>
      </c>
      <c r="L15" s="39"/>
      <c r="M15" s="38" t="str">
        <f>IF(N15&lt;&gt;"",$E15*N15,"")</f>
        <v/>
      </c>
      <c r="N15" s="39"/>
      <c r="O15" s="38" t="str">
        <f>IF(P15&lt;&gt;"",$E15*P15,"")</f>
        <v/>
      </c>
      <c r="P15" s="39"/>
      <c r="Q15" s="38" t="str">
        <f>IF(R15&lt;&gt;"",$E15*R15,"")</f>
        <v/>
      </c>
      <c r="R15" s="39"/>
      <c r="S15" s="34"/>
      <c r="T15" s="34" t="e">
        <f>SUM(H15,J15,L15,N15,P15,R15,#REF!,#REF!,#REF!,#REF!)</f>
        <v>#REF!</v>
      </c>
      <c r="U15" s="35" t="e">
        <f>SUM(G15,I15,K15,M15,O15,Q15,#REF!,#REF!,#REF!,#REF!)</f>
        <v>#REF!</v>
      </c>
      <c r="V15" s="29" t="e">
        <f>E15=U15</f>
        <v>#VALUE!</v>
      </c>
      <c r="W15" s="29"/>
      <c r="X15" s="29"/>
      <c r="Y15" s="29"/>
      <c r="Z15" s="29"/>
    </row>
    <row r="16" spans="1:26" ht="7.5" customHeight="1" x14ac:dyDescent="0.3">
      <c r="A16" s="29"/>
      <c r="B16" s="14"/>
      <c r="C16" s="36"/>
      <c r="D16" s="37"/>
      <c r="E16" s="38" t="str">
        <f>IF(B16="","",SUMIF('[1]001.Orçamento Global'!$D$10:$D$24,'004. Cronograma Físico-Financ.'!B16,'[1]001.Orçamento Global'!$E$10:$E$24))</f>
        <v/>
      </c>
      <c r="F16" s="39"/>
      <c r="G16" s="38" t="e">
        <f t="shared" ref="G16:R16" si="1">IF(G15&lt;&gt;"",1,"")</f>
        <v>#VALUE!</v>
      </c>
      <c r="H16" s="38">
        <f t="shared" si="1"/>
        <v>1</v>
      </c>
      <c r="I16" s="38" t="e">
        <f t="shared" si="1"/>
        <v>#VALUE!</v>
      </c>
      <c r="J16" s="39">
        <f t="shared" si="1"/>
        <v>1</v>
      </c>
      <c r="K16" s="38" t="str">
        <f t="shared" si="1"/>
        <v/>
      </c>
      <c r="L16" s="39" t="str">
        <f t="shared" si="1"/>
        <v/>
      </c>
      <c r="M16" s="38" t="str">
        <f t="shared" si="1"/>
        <v/>
      </c>
      <c r="N16" s="39" t="str">
        <f t="shared" si="1"/>
        <v/>
      </c>
      <c r="O16" s="38" t="str">
        <f t="shared" si="1"/>
        <v/>
      </c>
      <c r="P16" s="39" t="str">
        <f t="shared" si="1"/>
        <v/>
      </c>
      <c r="Q16" s="38" t="str">
        <f t="shared" si="1"/>
        <v/>
      </c>
      <c r="R16" s="39" t="str">
        <f t="shared" si="1"/>
        <v/>
      </c>
      <c r="S16" s="34"/>
      <c r="T16" s="34"/>
      <c r="U16" s="29"/>
      <c r="V16" s="29"/>
      <c r="W16" s="29"/>
      <c r="X16" s="29"/>
      <c r="Y16" s="29"/>
      <c r="Z16" s="29"/>
    </row>
    <row r="17" spans="1:26" ht="7.5" customHeight="1" x14ac:dyDescent="0.3">
      <c r="A17" s="29"/>
      <c r="B17" s="14"/>
      <c r="C17" s="30"/>
      <c r="D17" s="31"/>
      <c r="E17" s="32" t="str">
        <f>IF(B17="","",SUMIF('[1]001.Orçamento Global'!$D$10:$D$24,'004. Cronograma Físico-Financ.'!B17,'[1]001.Orçamento Global'!$E$10:$E$24))</f>
        <v/>
      </c>
      <c r="F17" s="33"/>
      <c r="G17" s="32"/>
      <c r="H17" s="33"/>
      <c r="I17" s="32"/>
      <c r="J17" s="33"/>
      <c r="K17" s="32"/>
      <c r="L17" s="33"/>
      <c r="M17" s="32"/>
      <c r="N17" s="33"/>
      <c r="O17" s="32"/>
      <c r="P17" s="33"/>
      <c r="Q17" s="32"/>
      <c r="R17" s="33"/>
      <c r="S17" s="29"/>
      <c r="T17" s="29"/>
      <c r="U17" s="29"/>
      <c r="V17" s="29"/>
      <c r="W17" s="29"/>
      <c r="X17" s="29"/>
      <c r="Y17" s="29"/>
      <c r="Z17" s="29"/>
    </row>
    <row r="18" spans="1:26" ht="16.5" customHeight="1" x14ac:dyDescent="0.3">
      <c r="A18" s="29"/>
      <c r="B18" s="40" t="s">
        <v>17</v>
      </c>
      <c r="C18" s="30" t="s">
        <v>54</v>
      </c>
      <c r="D18" s="31" t="s">
        <v>17</v>
      </c>
      <c r="E18" s="32" t="e">
        <f>IF(B18="","",SUMIF('[1]001.Orçamento Global'!$D$10:$D$24,'004. Cronograma Físico-Financ.'!B18,'[1]001.Orçamento Global'!$E$10:$E$24))</f>
        <v>#VALUE!</v>
      </c>
      <c r="F18" s="33" t="e">
        <f>E18/$E$47</f>
        <v>#VALUE!</v>
      </c>
      <c r="G18" s="32" t="e">
        <f>IF(H18&lt;&gt;"",$E18*H18,"")</f>
        <v>#VALUE!</v>
      </c>
      <c r="H18" s="33">
        <v>0.6</v>
      </c>
      <c r="I18" s="32" t="e">
        <f>IF(J18&lt;&gt;"",$E18*J18,"")</f>
        <v>#VALUE!</v>
      </c>
      <c r="J18" s="33">
        <v>0.22</v>
      </c>
      <c r="K18" s="32" t="str">
        <f>IF(L18&lt;&gt;"",$E18*L18,"")</f>
        <v/>
      </c>
      <c r="L18" s="33"/>
      <c r="M18" s="32" t="str">
        <f>IF(N18&lt;&gt;"",$E18*N18,"")</f>
        <v/>
      </c>
      <c r="N18" s="33"/>
      <c r="O18" s="32" t="str">
        <f>IF(P18&lt;&gt;"",$E18*P18,"")</f>
        <v/>
      </c>
      <c r="P18" s="33"/>
      <c r="Q18" s="32" t="e">
        <f>IF(R18&lt;&gt;"",$E18*R18,"")</f>
        <v>#VALUE!</v>
      </c>
      <c r="R18" s="33">
        <v>0.18</v>
      </c>
      <c r="S18" s="34"/>
      <c r="T18" s="34" t="e">
        <f>SUM(H18,J18,L18,N18,P18,R18,#REF!,#REF!,#REF!,#REF!)</f>
        <v>#REF!</v>
      </c>
      <c r="U18" s="35" t="e">
        <f>SUM(G18,I18,K18,M18,O18,Q18,#REF!,#REF!,#REF!,#REF!)</f>
        <v>#REF!</v>
      </c>
      <c r="V18" s="29" t="e">
        <f>E18=U18</f>
        <v>#VALUE!</v>
      </c>
      <c r="W18" s="29"/>
      <c r="X18" s="29"/>
      <c r="Y18" s="29"/>
      <c r="Z18" s="29"/>
    </row>
    <row r="19" spans="1:26" ht="7.5" customHeight="1" x14ac:dyDescent="0.3">
      <c r="A19" s="29"/>
      <c r="B19" s="14"/>
      <c r="C19" s="30"/>
      <c r="D19" s="31"/>
      <c r="E19" s="32" t="str">
        <f>IF(B19="","",SUMIF('[1]001.Orçamento Global'!$D$10:$D$24,'004. Cronograma Físico-Financ.'!B19,'[1]001.Orçamento Global'!$E$10:$E$24))</f>
        <v/>
      </c>
      <c r="F19" s="33"/>
      <c r="G19" s="32" t="e">
        <f t="shared" ref="G19:R19" si="2">IF(G18&lt;&gt;"",1,"")</f>
        <v>#VALUE!</v>
      </c>
      <c r="H19" s="32">
        <f t="shared" si="2"/>
        <v>1</v>
      </c>
      <c r="I19" s="32" t="e">
        <f t="shared" si="2"/>
        <v>#VALUE!</v>
      </c>
      <c r="J19" s="33">
        <f t="shared" si="2"/>
        <v>1</v>
      </c>
      <c r="K19" s="32" t="str">
        <f t="shared" si="2"/>
        <v/>
      </c>
      <c r="L19" s="33" t="str">
        <f t="shared" si="2"/>
        <v/>
      </c>
      <c r="M19" s="32" t="str">
        <f t="shared" si="2"/>
        <v/>
      </c>
      <c r="N19" s="33" t="str">
        <f t="shared" si="2"/>
        <v/>
      </c>
      <c r="O19" s="32" t="str">
        <f t="shared" si="2"/>
        <v/>
      </c>
      <c r="P19" s="33" t="str">
        <f t="shared" si="2"/>
        <v/>
      </c>
      <c r="Q19" s="32" t="e">
        <f t="shared" si="2"/>
        <v>#VALUE!</v>
      </c>
      <c r="R19" s="33">
        <f t="shared" si="2"/>
        <v>1</v>
      </c>
      <c r="S19" s="34"/>
      <c r="T19" s="34"/>
      <c r="U19" s="29"/>
      <c r="V19" s="29"/>
      <c r="W19" s="29"/>
      <c r="X19" s="29"/>
      <c r="Y19" s="29"/>
      <c r="Z19" s="29"/>
    </row>
    <row r="20" spans="1:26" ht="7.5" customHeight="1" x14ac:dyDescent="0.3">
      <c r="A20" s="41"/>
      <c r="B20" s="42"/>
      <c r="C20" s="43"/>
      <c r="D20" s="44"/>
      <c r="E20" s="45" t="str">
        <f>IF(B20="","",SUMIF('[1]001.Orçamento Global'!$D$10:$D$24,'004. Cronograma Físico-Financ.'!B20,'[1]001.Orçamento Global'!$E$10:$E$24))</f>
        <v/>
      </c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1"/>
      <c r="T20" s="41"/>
      <c r="U20" s="41"/>
      <c r="V20" s="41"/>
      <c r="W20" s="41"/>
      <c r="X20" s="41"/>
      <c r="Y20" s="41"/>
      <c r="Z20" s="41"/>
    </row>
    <row r="21" spans="1:26" ht="16.5" customHeight="1" x14ac:dyDescent="0.3">
      <c r="A21" s="41"/>
      <c r="B21" s="47" t="s">
        <v>16</v>
      </c>
      <c r="C21" s="43" t="s">
        <v>55</v>
      </c>
      <c r="D21" s="44" t="s">
        <v>16</v>
      </c>
      <c r="E21" s="45" t="e">
        <f>IF(B21="","",SUMIF('[1]001.Orçamento Global'!$D$10:$D$24,'004. Cronograma Físico-Financ.'!B21,'[1]001.Orçamento Global'!$E$10:$E$24))</f>
        <v>#VALUE!</v>
      </c>
      <c r="F21" s="46" t="e">
        <f>E21/$E$47</f>
        <v>#VALUE!</v>
      </c>
      <c r="G21" s="45" t="e">
        <f>IF(H21&lt;&gt;"",$E21*H21,"")</f>
        <v>#VALUE!</v>
      </c>
      <c r="H21" s="46">
        <v>0.3</v>
      </c>
      <c r="I21" s="45" t="e">
        <f>IF(J21&lt;&gt;"",$E21*J21,"")</f>
        <v>#VALUE!</v>
      </c>
      <c r="J21" s="46">
        <v>0.4</v>
      </c>
      <c r="K21" s="45" t="e">
        <f>IF(L21&lt;&gt;"",$E21*L21,"")</f>
        <v>#VALUE!</v>
      </c>
      <c r="L21" s="46">
        <v>0.3</v>
      </c>
      <c r="M21" s="45" t="str">
        <f>IF(N21&lt;&gt;"",$E21*N21,"")</f>
        <v/>
      </c>
      <c r="N21" s="46"/>
      <c r="O21" s="45" t="str">
        <f>IF(P21&lt;&gt;"",$E21*P21,"")</f>
        <v/>
      </c>
      <c r="P21" s="46"/>
      <c r="Q21" s="45" t="str">
        <f>IF(R21&lt;&gt;"",$E21*R21,"")</f>
        <v/>
      </c>
      <c r="R21" s="46"/>
      <c r="S21" s="48"/>
      <c r="T21" s="48" t="e">
        <f>SUM(H21,J21,L21,N21,P21,R21,#REF!,#REF!,#REF!,#REF!)</f>
        <v>#REF!</v>
      </c>
      <c r="U21" s="49" t="e">
        <f>SUM(G21,I21,K21,M21,O21,Q21,#REF!,#REF!,#REF!,#REF!)</f>
        <v>#REF!</v>
      </c>
      <c r="V21" s="41" t="e">
        <f>E21=U21</f>
        <v>#VALUE!</v>
      </c>
      <c r="W21" s="41"/>
      <c r="X21" s="41"/>
      <c r="Y21" s="41"/>
      <c r="Z21" s="41"/>
    </row>
    <row r="22" spans="1:26" ht="7.5" customHeight="1" x14ac:dyDescent="0.3">
      <c r="A22" s="41"/>
      <c r="B22" s="42"/>
      <c r="C22" s="43"/>
      <c r="D22" s="44"/>
      <c r="E22" s="45" t="str">
        <f>IF(B22="","",SUMIF('[1]001.Orçamento Global'!$D$10:$D$24,'004. Cronograma Físico-Financ.'!B22,'[1]001.Orçamento Global'!$E$10:$E$24))</f>
        <v/>
      </c>
      <c r="F22" s="46"/>
      <c r="G22" s="45" t="e">
        <f t="shared" ref="G22:R22" si="3">IF(G21&lt;&gt;"",1,"")</f>
        <v>#VALUE!</v>
      </c>
      <c r="H22" s="45">
        <f t="shared" si="3"/>
        <v>1</v>
      </c>
      <c r="I22" s="45" t="e">
        <f t="shared" si="3"/>
        <v>#VALUE!</v>
      </c>
      <c r="J22" s="46">
        <f t="shared" si="3"/>
        <v>1</v>
      </c>
      <c r="K22" s="45" t="e">
        <f t="shared" si="3"/>
        <v>#VALUE!</v>
      </c>
      <c r="L22" s="46">
        <f t="shared" si="3"/>
        <v>1</v>
      </c>
      <c r="M22" s="45" t="str">
        <f t="shared" si="3"/>
        <v/>
      </c>
      <c r="N22" s="46" t="str">
        <f t="shared" si="3"/>
        <v/>
      </c>
      <c r="O22" s="45" t="str">
        <f t="shared" si="3"/>
        <v/>
      </c>
      <c r="P22" s="46" t="str">
        <f t="shared" si="3"/>
        <v/>
      </c>
      <c r="Q22" s="45" t="str">
        <f t="shared" si="3"/>
        <v/>
      </c>
      <c r="R22" s="46" t="str">
        <f t="shared" si="3"/>
        <v/>
      </c>
      <c r="S22" s="48"/>
      <c r="T22" s="48"/>
      <c r="U22" s="41"/>
      <c r="V22" s="41"/>
      <c r="W22" s="41"/>
      <c r="X22" s="41"/>
      <c r="Y22" s="41"/>
      <c r="Z22" s="41"/>
    </row>
    <row r="23" spans="1:26" ht="7.5" customHeight="1" x14ac:dyDescent="0.3">
      <c r="A23" s="50"/>
      <c r="B23" s="51"/>
      <c r="C23" s="30"/>
      <c r="D23" s="31"/>
      <c r="E23" s="32" t="str">
        <f>IF(B23="","",SUMIF('[1]001.Orçamento Global'!$D$10:$D$24,'004. Cronograma Físico-Financ.'!B23,'[1]001.Orçamento Global'!$E$10:$E$24))</f>
        <v/>
      </c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50"/>
      <c r="T23" s="50"/>
      <c r="U23" s="50"/>
      <c r="V23" s="50"/>
      <c r="W23" s="50"/>
      <c r="X23" s="50"/>
      <c r="Y23" s="50"/>
      <c r="Z23" s="50"/>
    </row>
    <row r="24" spans="1:26" ht="16.5" customHeight="1" x14ac:dyDescent="0.3">
      <c r="A24" s="50"/>
      <c r="B24" s="52" t="s">
        <v>18</v>
      </c>
      <c r="C24" s="30" t="s">
        <v>56</v>
      </c>
      <c r="D24" s="31" t="s">
        <v>18</v>
      </c>
      <c r="E24" s="32" t="e">
        <f>IF(B24="","",SUMIF('[1]001.Orçamento Global'!$D$10:$D$24,'004. Cronograma Físico-Financ.'!B24,'[1]001.Orçamento Global'!$E$10:$E$24))</f>
        <v>#VALUE!</v>
      </c>
      <c r="F24" s="33" t="e">
        <f>E24/$E$47</f>
        <v>#VALUE!</v>
      </c>
      <c r="G24" s="32" t="str">
        <f>IF(H24&lt;&gt;"",$E24*H24,"")</f>
        <v/>
      </c>
      <c r="H24" s="33"/>
      <c r="I24" s="32" t="e">
        <f>IF(J24&lt;&gt;"",$E24*J24,"")</f>
        <v>#VALUE!</v>
      </c>
      <c r="J24" s="33">
        <v>0.25</v>
      </c>
      <c r="K24" s="32" t="e">
        <f>IF(L24&lt;&gt;"",$E24*L24,"")</f>
        <v>#VALUE!</v>
      </c>
      <c r="L24" s="33">
        <v>0.4</v>
      </c>
      <c r="M24" s="32" t="e">
        <f>IF(N24&lt;&gt;"",$E24*N24,"")</f>
        <v>#VALUE!</v>
      </c>
      <c r="N24" s="33">
        <v>0.35</v>
      </c>
      <c r="O24" s="32" t="str">
        <f>IF(P24&lt;&gt;"",$E24*P24,"")</f>
        <v/>
      </c>
      <c r="P24" s="33"/>
      <c r="Q24" s="32" t="str">
        <f>IF(R24&lt;&gt;"",$E24*R24,"")</f>
        <v/>
      </c>
      <c r="R24" s="33"/>
      <c r="S24" s="53"/>
      <c r="T24" s="53" t="e">
        <f>SUM(H24,J24,L24,N24,P24,R24,#REF!,#REF!,#REF!,#REF!)</f>
        <v>#REF!</v>
      </c>
      <c r="U24" s="54" t="e">
        <f>SUM(G24,I24,K24,M24,O24,Q24,#REF!,#REF!,#REF!,#REF!)</f>
        <v>#REF!</v>
      </c>
      <c r="V24" s="50" t="e">
        <f>E24=U24</f>
        <v>#VALUE!</v>
      </c>
      <c r="W24" s="50"/>
      <c r="X24" s="50"/>
      <c r="Y24" s="50"/>
      <c r="Z24" s="50"/>
    </row>
    <row r="25" spans="1:26" ht="7.5" customHeight="1" x14ac:dyDescent="0.3">
      <c r="A25" s="50"/>
      <c r="B25" s="51"/>
      <c r="C25" s="30"/>
      <c r="D25" s="31"/>
      <c r="E25" s="32" t="str">
        <f>IF(B25="","",SUMIF('[1]001.Orçamento Global'!$D$10:$D$24,'004. Cronograma Físico-Financ.'!B25,'[1]001.Orçamento Global'!$E$10:$E$24))</f>
        <v/>
      </c>
      <c r="F25" s="33"/>
      <c r="G25" s="32" t="str">
        <f t="shared" ref="G25:R25" si="4">IF(G24&lt;&gt;"",1,"")</f>
        <v/>
      </c>
      <c r="H25" s="32" t="str">
        <f t="shared" si="4"/>
        <v/>
      </c>
      <c r="I25" s="32" t="e">
        <f t="shared" si="4"/>
        <v>#VALUE!</v>
      </c>
      <c r="J25" s="33">
        <f t="shared" si="4"/>
        <v>1</v>
      </c>
      <c r="K25" s="32" t="e">
        <f t="shared" si="4"/>
        <v>#VALUE!</v>
      </c>
      <c r="L25" s="33">
        <f t="shared" si="4"/>
        <v>1</v>
      </c>
      <c r="M25" s="32" t="e">
        <f t="shared" si="4"/>
        <v>#VALUE!</v>
      </c>
      <c r="N25" s="33">
        <f t="shared" si="4"/>
        <v>1</v>
      </c>
      <c r="O25" s="32" t="str">
        <f t="shared" si="4"/>
        <v/>
      </c>
      <c r="P25" s="33" t="str">
        <f t="shared" si="4"/>
        <v/>
      </c>
      <c r="Q25" s="32" t="str">
        <f t="shared" si="4"/>
        <v/>
      </c>
      <c r="R25" s="33" t="str">
        <f t="shared" si="4"/>
        <v/>
      </c>
      <c r="S25" s="53"/>
      <c r="T25" s="53"/>
      <c r="U25" s="50"/>
      <c r="V25" s="50"/>
      <c r="W25" s="50"/>
      <c r="X25" s="50"/>
      <c r="Y25" s="50"/>
      <c r="Z25" s="50"/>
    </row>
    <row r="26" spans="1:26" ht="7.5" customHeight="1" x14ac:dyDescent="0.3">
      <c r="A26" s="41"/>
      <c r="B26" s="42"/>
      <c r="C26" s="43"/>
      <c r="D26" s="44"/>
      <c r="E26" s="45" t="str">
        <f>IF(B26="","",SUMIF('[1]001.Orçamento Global'!$D$10:$D$24,'004. Cronograma Físico-Financ.'!B26,'[1]001.Orçamento Global'!$E$10:$E$24))</f>
        <v/>
      </c>
      <c r="F26" s="46"/>
      <c r="G26" s="45"/>
      <c r="H26" s="46"/>
      <c r="I26" s="45"/>
      <c r="J26" s="46"/>
      <c r="K26" s="45"/>
      <c r="L26" s="46"/>
      <c r="M26" s="45"/>
      <c r="N26" s="46"/>
      <c r="O26" s="45"/>
      <c r="P26" s="46"/>
      <c r="Q26" s="45"/>
      <c r="R26" s="46"/>
      <c r="S26" s="41"/>
      <c r="T26" s="41"/>
      <c r="U26" s="41"/>
      <c r="V26" s="41"/>
      <c r="W26" s="41"/>
      <c r="X26" s="41"/>
      <c r="Y26" s="41"/>
      <c r="Z26" s="41"/>
    </row>
    <row r="27" spans="1:26" ht="16.5" customHeight="1" x14ac:dyDescent="0.3">
      <c r="A27" s="41"/>
      <c r="B27" s="47" t="s">
        <v>19</v>
      </c>
      <c r="C27" s="43" t="s">
        <v>57</v>
      </c>
      <c r="D27" s="44" t="s">
        <v>19</v>
      </c>
      <c r="E27" s="45" t="e">
        <f>IF(B27="","",SUMIF('[1]001.Orçamento Global'!$D$10:$D$24,'004. Cronograma Físico-Financ.'!B27,'[1]001.Orçamento Global'!$E$10:$E$24))</f>
        <v>#VALUE!</v>
      </c>
      <c r="F27" s="46" t="e">
        <f>E27/$E$47</f>
        <v>#VALUE!</v>
      </c>
      <c r="G27" s="45" t="str">
        <f>IF(H27&lt;&gt;"",$E27*H27,"")</f>
        <v/>
      </c>
      <c r="H27" s="46"/>
      <c r="I27" s="45" t="e">
        <f>IF(J27&lt;&gt;"",$E27*J27,"")</f>
        <v>#VALUE!</v>
      </c>
      <c r="J27" s="46">
        <v>0.2</v>
      </c>
      <c r="K27" s="45" t="e">
        <f>IF(L27&lt;&gt;"",$E27*L27,"")</f>
        <v>#VALUE!</v>
      </c>
      <c r="L27" s="46">
        <v>0.35</v>
      </c>
      <c r="M27" s="45" t="e">
        <f>IF(N27&lt;&gt;"",$E27*N27,"")</f>
        <v>#VALUE!</v>
      </c>
      <c r="N27" s="46">
        <v>0.3</v>
      </c>
      <c r="O27" s="45" t="e">
        <f>IF(P27&lt;&gt;"",$E27*P27,"")</f>
        <v>#VALUE!</v>
      </c>
      <c r="P27" s="46">
        <v>0.15</v>
      </c>
      <c r="Q27" s="45" t="str">
        <f>IF(R27&lt;&gt;"",$E27*R27,"")</f>
        <v/>
      </c>
      <c r="R27" s="46"/>
      <c r="S27" s="48"/>
      <c r="T27" s="48" t="e">
        <f>SUM(H27,J27,L27,N27,P27,R27,#REF!,#REF!,#REF!,#REF!)</f>
        <v>#REF!</v>
      </c>
      <c r="U27" s="49" t="e">
        <f>SUM(G27,I27,K27,M27,O27,Q27,#REF!,#REF!,#REF!,#REF!)</f>
        <v>#REF!</v>
      </c>
      <c r="V27" s="41" t="e">
        <f>E27=U27</f>
        <v>#VALUE!</v>
      </c>
      <c r="W27" s="41"/>
      <c r="X27" s="41"/>
      <c r="Y27" s="41"/>
      <c r="Z27" s="41"/>
    </row>
    <row r="28" spans="1:26" ht="7.5" customHeight="1" x14ac:dyDescent="0.3">
      <c r="A28" s="41"/>
      <c r="B28" s="42"/>
      <c r="C28" s="43"/>
      <c r="D28" s="44"/>
      <c r="E28" s="45" t="str">
        <f>IF(B28="","",SUMIF('[1]001.Orçamento Global'!$D$10:$D$24,'004. Cronograma Físico-Financ.'!B28,'[1]001.Orçamento Global'!$E$10:$E$24))</f>
        <v/>
      </c>
      <c r="F28" s="46"/>
      <c r="G28" s="45" t="str">
        <f t="shared" ref="G28:R28" si="5">IF(G27&lt;&gt;"",1,"")</f>
        <v/>
      </c>
      <c r="H28" s="45" t="str">
        <f t="shared" si="5"/>
        <v/>
      </c>
      <c r="I28" s="45" t="e">
        <f t="shared" si="5"/>
        <v>#VALUE!</v>
      </c>
      <c r="J28" s="46">
        <f t="shared" si="5"/>
        <v>1</v>
      </c>
      <c r="K28" s="45" t="e">
        <f t="shared" si="5"/>
        <v>#VALUE!</v>
      </c>
      <c r="L28" s="46">
        <f t="shared" si="5"/>
        <v>1</v>
      </c>
      <c r="M28" s="45" t="e">
        <f t="shared" si="5"/>
        <v>#VALUE!</v>
      </c>
      <c r="N28" s="46">
        <f t="shared" si="5"/>
        <v>1</v>
      </c>
      <c r="O28" s="45" t="e">
        <f t="shared" si="5"/>
        <v>#VALUE!</v>
      </c>
      <c r="P28" s="46">
        <f t="shared" si="5"/>
        <v>1</v>
      </c>
      <c r="Q28" s="45" t="str">
        <f t="shared" si="5"/>
        <v/>
      </c>
      <c r="R28" s="46" t="str">
        <f t="shared" si="5"/>
        <v/>
      </c>
      <c r="S28" s="48"/>
      <c r="T28" s="48"/>
      <c r="U28" s="41"/>
      <c r="V28" s="41"/>
      <c r="W28" s="41"/>
      <c r="X28" s="41"/>
      <c r="Y28" s="41"/>
      <c r="Z28" s="41"/>
    </row>
    <row r="29" spans="1:26" ht="7.5" customHeight="1" x14ac:dyDescent="0.3">
      <c r="A29" s="29"/>
      <c r="B29" s="14"/>
      <c r="C29" s="30"/>
      <c r="D29" s="31"/>
      <c r="E29" s="32" t="str">
        <f>IF(B29="","",SUMIF('[1]001.Orçamento Global'!$D$10:$D$24,'004. Cronograma Físico-Financ.'!B29,'[1]001.Orçamento Global'!$E$10:$E$24))</f>
        <v/>
      </c>
      <c r="F29" s="33"/>
      <c r="G29" s="32"/>
      <c r="H29" s="33"/>
      <c r="I29" s="32"/>
      <c r="J29" s="33"/>
      <c r="K29" s="32"/>
      <c r="L29" s="33"/>
      <c r="M29" s="32"/>
      <c r="N29" s="33"/>
      <c r="O29" s="32"/>
      <c r="P29" s="33"/>
      <c r="Q29" s="32"/>
      <c r="R29" s="33"/>
      <c r="S29" s="29"/>
      <c r="T29" s="29"/>
      <c r="U29" s="29"/>
      <c r="V29" s="29"/>
      <c r="W29" s="29"/>
      <c r="X29" s="29"/>
      <c r="Y29" s="29"/>
      <c r="Z29" s="29"/>
    </row>
    <row r="30" spans="1:26" ht="16.5" customHeight="1" x14ac:dyDescent="0.3">
      <c r="A30" s="29"/>
      <c r="B30" s="40" t="s">
        <v>20</v>
      </c>
      <c r="C30" s="30" t="s">
        <v>58</v>
      </c>
      <c r="D30" s="31" t="s">
        <v>20</v>
      </c>
      <c r="E30" s="32" t="e">
        <f>IF(B30="","",SUMIF('[1]001.Orçamento Global'!$D$10:$D$24,'004. Cronograma Físico-Financ.'!B30,'[1]001.Orçamento Global'!$E$10:$E$24))</f>
        <v>#VALUE!</v>
      </c>
      <c r="F30" s="33" t="e">
        <f>E30/$E$47</f>
        <v>#VALUE!</v>
      </c>
      <c r="G30" s="32" t="str">
        <f>IF(H30&lt;&gt;"",$E30*H30,"")</f>
        <v/>
      </c>
      <c r="H30" s="33"/>
      <c r="I30" s="32" t="str">
        <f>IF(J30&lt;&gt;"",$E30*J30,"")</f>
        <v/>
      </c>
      <c r="J30" s="33"/>
      <c r="K30" s="32" t="e">
        <f>IF(L30&lt;&gt;"",$E30*L30,"")</f>
        <v>#VALUE!</v>
      </c>
      <c r="L30" s="33">
        <v>0.4</v>
      </c>
      <c r="M30" s="32" t="e">
        <f>IF(N30&lt;&gt;"",$E30*N30,"")</f>
        <v>#VALUE!</v>
      </c>
      <c r="N30" s="33">
        <v>0.3</v>
      </c>
      <c r="O30" s="32" t="e">
        <f>IF(P30&lt;&gt;"",$E30*P30,"")</f>
        <v>#VALUE!</v>
      </c>
      <c r="P30" s="33">
        <v>0.3</v>
      </c>
      <c r="Q30" s="32" t="str">
        <f>IF(R30&lt;&gt;"",$E30*R30,"")</f>
        <v/>
      </c>
      <c r="R30" s="33"/>
      <c r="S30" s="34"/>
      <c r="T30" s="34" t="e">
        <f>SUM(H30,J30,L30,N30,P30,R30,#REF!,#REF!,#REF!,#REF!)</f>
        <v>#REF!</v>
      </c>
      <c r="U30" s="35" t="e">
        <f>SUM(G30,I30,K30,M30,O30,Q30,#REF!,#REF!,#REF!,#REF!)</f>
        <v>#REF!</v>
      </c>
      <c r="V30" s="29" t="e">
        <f>E30=U30</f>
        <v>#VALUE!</v>
      </c>
      <c r="W30" s="29"/>
      <c r="X30" s="29"/>
      <c r="Y30" s="29"/>
      <c r="Z30" s="29"/>
    </row>
    <row r="31" spans="1:26" ht="7.5" customHeight="1" x14ac:dyDescent="0.3">
      <c r="A31" s="29"/>
      <c r="B31" s="14"/>
      <c r="C31" s="30"/>
      <c r="D31" s="31"/>
      <c r="E31" s="32" t="str">
        <f>IF(B31="","",SUMIF('[1]001.Orçamento Global'!$D$10:$D$24,'004. Cronograma Físico-Financ.'!B31,'[1]001.Orçamento Global'!$E$10:$E$24))</f>
        <v/>
      </c>
      <c r="F31" s="33"/>
      <c r="G31" s="32" t="str">
        <f t="shared" ref="G31:R31" si="6">IF(G30&lt;&gt;"",1,"")</f>
        <v/>
      </c>
      <c r="H31" s="32" t="str">
        <f t="shared" si="6"/>
        <v/>
      </c>
      <c r="I31" s="32" t="str">
        <f t="shared" si="6"/>
        <v/>
      </c>
      <c r="J31" s="33" t="str">
        <f t="shared" si="6"/>
        <v/>
      </c>
      <c r="K31" s="32" t="e">
        <f t="shared" si="6"/>
        <v>#VALUE!</v>
      </c>
      <c r="L31" s="33">
        <f t="shared" si="6"/>
        <v>1</v>
      </c>
      <c r="M31" s="32" t="e">
        <f t="shared" si="6"/>
        <v>#VALUE!</v>
      </c>
      <c r="N31" s="33">
        <f t="shared" si="6"/>
        <v>1</v>
      </c>
      <c r="O31" s="32" t="e">
        <f t="shared" si="6"/>
        <v>#VALUE!</v>
      </c>
      <c r="P31" s="33">
        <f t="shared" si="6"/>
        <v>1</v>
      </c>
      <c r="Q31" s="32" t="str">
        <f t="shared" si="6"/>
        <v/>
      </c>
      <c r="R31" s="33" t="str">
        <f t="shared" si="6"/>
        <v/>
      </c>
      <c r="S31" s="34"/>
      <c r="T31" s="34"/>
      <c r="U31" s="29"/>
      <c r="V31" s="29"/>
      <c r="W31" s="29"/>
      <c r="X31" s="29"/>
      <c r="Y31" s="29"/>
      <c r="Z31" s="29"/>
    </row>
    <row r="32" spans="1:26" ht="7.5" customHeight="1" x14ac:dyDescent="0.3">
      <c r="A32" s="29"/>
      <c r="B32" s="14"/>
      <c r="C32" s="36"/>
      <c r="D32" s="37"/>
      <c r="E32" s="38" t="str">
        <f>IF(B32="","",SUMIF('[1]001.Orçamento Global'!$D$10:$D$24,'004. Cronograma Físico-Financ.'!B32,'[1]001.Orçamento Global'!$E$10:$E$24))</f>
        <v/>
      </c>
      <c r="F32" s="39"/>
      <c r="G32" s="38"/>
      <c r="H32" s="39"/>
      <c r="I32" s="38"/>
      <c r="J32" s="39"/>
      <c r="K32" s="38"/>
      <c r="L32" s="39"/>
      <c r="M32" s="38"/>
      <c r="N32" s="39"/>
      <c r="O32" s="38"/>
      <c r="P32" s="39"/>
      <c r="Q32" s="38"/>
      <c r="R32" s="39"/>
      <c r="S32" s="29"/>
      <c r="T32" s="29"/>
      <c r="U32" s="29"/>
      <c r="V32" s="29"/>
      <c r="W32" s="29"/>
      <c r="X32" s="29"/>
      <c r="Y32" s="29"/>
      <c r="Z32" s="29"/>
    </row>
    <row r="33" spans="1:26" ht="16.5" customHeight="1" x14ac:dyDescent="0.3">
      <c r="A33" s="29"/>
      <c r="B33" s="40" t="s">
        <v>33</v>
      </c>
      <c r="C33" s="36" t="s">
        <v>59</v>
      </c>
      <c r="D33" s="37" t="s">
        <v>33</v>
      </c>
      <c r="E33" s="38" t="e">
        <f>IF(B33="","",SUMIF('[1]001.Orçamento Global'!$D$10:$D$24,'004. Cronograma Físico-Financ.'!B33,'[1]001.Orçamento Global'!$E$10:$E$24))</f>
        <v>#VALUE!</v>
      </c>
      <c r="F33" s="39" t="e">
        <f>E33/$E$47</f>
        <v>#VALUE!</v>
      </c>
      <c r="G33" s="38" t="str">
        <f>IF(H33&lt;&gt;"",$E33*H33,"")</f>
        <v/>
      </c>
      <c r="H33" s="39"/>
      <c r="I33" s="38" t="e">
        <f>IF(J33&lt;&gt;"",$E33*J33,"")</f>
        <v>#VALUE!</v>
      </c>
      <c r="J33" s="39">
        <v>0.2</v>
      </c>
      <c r="K33" s="38" t="e">
        <f>IF(L33&lt;&gt;"",$E33*L33,"")</f>
        <v>#VALUE!</v>
      </c>
      <c r="L33" s="39">
        <v>0.4</v>
      </c>
      <c r="M33" s="38" t="e">
        <f>IF(N33&lt;&gt;"",$E33*N33,"")</f>
        <v>#VALUE!</v>
      </c>
      <c r="N33" s="39">
        <v>0.4</v>
      </c>
      <c r="O33" s="38" t="str">
        <f>IF(P33&lt;&gt;"",$E33*P33,"")</f>
        <v/>
      </c>
      <c r="P33" s="39"/>
      <c r="Q33" s="38" t="str">
        <f>IF(R33&lt;&gt;"",$E33*R33,"")</f>
        <v/>
      </c>
      <c r="R33" s="39"/>
      <c r="S33" s="34"/>
      <c r="T33" s="34" t="e">
        <f>SUM(H33,J33,L33,N33,P33,R33,#REF!,#REF!,#REF!,#REF!)</f>
        <v>#REF!</v>
      </c>
      <c r="U33" s="35" t="e">
        <f>SUM(G33,I33,K33,M33,O33,Q33,#REF!,#REF!,#REF!,#REF!)</f>
        <v>#REF!</v>
      </c>
      <c r="V33" s="29" t="e">
        <f>E33=U33</f>
        <v>#VALUE!</v>
      </c>
      <c r="W33" s="29"/>
      <c r="X33" s="29"/>
      <c r="Y33" s="29"/>
      <c r="Z33" s="29"/>
    </row>
    <row r="34" spans="1:26" ht="7.5" customHeight="1" x14ac:dyDescent="0.3">
      <c r="A34" s="29"/>
      <c r="B34" s="14"/>
      <c r="C34" s="36"/>
      <c r="D34" s="37"/>
      <c r="E34" s="38" t="str">
        <f>IF(B34="","",SUMIF('[1]001.Orçamento Global'!$D$10:$D$24,'004. Cronograma Físico-Financ.'!B34,'[1]001.Orçamento Global'!$E$10:$E$24))</f>
        <v/>
      </c>
      <c r="F34" s="39"/>
      <c r="G34" s="38" t="str">
        <f t="shared" ref="G34:R34" si="7">IF(G33&lt;&gt;"",1,"")</f>
        <v/>
      </c>
      <c r="H34" s="38" t="str">
        <f t="shared" si="7"/>
        <v/>
      </c>
      <c r="I34" s="38" t="e">
        <f t="shared" si="7"/>
        <v>#VALUE!</v>
      </c>
      <c r="J34" s="39">
        <f t="shared" si="7"/>
        <v>1</v>
      </c>
      <c r="K34" s="38" t="e">
        <f t="shared" si="7"/>
        <v>#VALUE!</v>
      </c>
      <c r="L34" s="39">
        <f t="shared" si="7"/>
        <v>1</v>
      </c>
      <c r="M34" s="38" t="e">
        <f t="shared" si="7"/>
        <v>#VALUE!</v>
      </c>
      <c r="N34" s="39">
        <f t="shared" si="7"/>
        <v>1</v>
      </c>
      <c r="O34" s="38" t="str">
        <f t="shared" si="7"/>
        <v/>
      </c>
      <c r="P34" s="39" t="str">
        <f t="shared" si="7"/>
        <v/>
      </c>
      <c r="Q34" s="38" t="str">
        <f t="shared" si="7"/>
        <v/>
      </c>
      <c r="R34" s="39" t="str">
        <f t="shared" si="7"/>
        <v/>
      </c>
      <c r="S34" s="34"/>
      <c r="T34" s="34"/>
      <c r="U34" s="29"/>
      <c r="V34" s="29"/>
      <c r="W34" s="29"/>
      <c r="X34" s="29"/>
      <c r="Y34" s="29"/>
      <c r="Z34" s="29"/>
    </row>
    <row r="35" spans="1:26" ht="7.5" customHeight="1" x14ac:dyDescent="0.3">
      <c r="A35" s="29"/>
      <c r="B35" s="14"/>
      <c r="C35" s="30"/>
      <c r="D35" s="31"/>
      <c r="E35" s="32" t="str">
        <f>IF(B35="","",SUMIF('[1]001.Orçamento Global'!$D$10:$D$24,'004. Cronograma Físico-Financ.'!B35,'[1]001.Orçamento Global'!$E$10:$E$24))</f>
        <v/>
      </c>
      <c r="F35" s="33"/>
      <c r="G35" s="32"/>
      <c r="H35" s="33"/>
      <c r="I35" s="32"/>
      <c r="J35" s="33"/>
      <c r="K35" s="32"/>
      <c r="L35" s="33"/>
      <c r="M35" s="32"/>
      <c r="N35" s="33"/>
      <c r="O35" s="32"/>
      <c r="P35" s="33"/>
      <c r="Q35" s="32"/>
      <c r="R35" s="33"/>
      <c r="S35" s="29"/>
      <c r="T35" s="29"/>
      <c r="U35" s="29"/>
      <c r="V35" s="29"/>
      <c r="W35" s="29"/>
      <c r="X35" s="29"/>
      <c r="Y35" s="29"/>
      <c r="Z35" s="29"/>
    </row>
    <row r="36" spans="1:26" ht="16.5" customHeight="1" x14ac:dyDescent="0.3">
      <c r="A36" s="29"/>
      <c r="B36" s="40" t="s">
        <v>35</v>
      </c>
      <c r="C36" s="30" t="s">
        <v>60</v>
      </c>
      <c r="D36" s="31" t="s">
        <v>35</v>
      </c>
      <c r="E36" s="32" t="e">
        <f>IF(B36="","",SUMIF('[1]001.Orçamento Global'!$D$10:$D$24,'004. Cronograma Físico-Financ.'!B36,'[1]001.Orçamento Global'!$E$10:$E$24))</f>
        <v>#VALUE!</v>
      </c>
      <c r="F36" s="33" t="e">
        <f>E36/$E$47</f>
        <v>#VALUE!</v>
      </c>
      <c r="G36" s="32" t="str">
        <f>IF(H36&lt;&gt;"",$E36*H36,"")</f>
        <v/>
      </c>
      <c r="H36" s="33"/>
      <c r="I36" s="32" t="str">
        <f>IF(J36&lt;&gt;"",$E36*J36,"")</f>
        <v/>
      </c>
      <c r="J36" s="33"/>
      <c r="K36" s="32" t="e">
        <f>IF(L36&lt;&gt;"",$E36*L36,"")</f>
        <v>#VALUE!</v>
      </c>
      <c r="L36" s="33">
        <v>0.2</v>
      </c>
      <c r="M36" s="32" t="e">
        <f>IF(N36&lt;&gt;"",$E36*N36,"")</f>
        <v>#VALUE!</v>
      </c>
      <c r="N36" s="33">
        <v>0.4</v>
      </c>
      <c r="O36" s="32" t="e">
        <f>IF(P36&lt;&gt;"",$E36*P36,"")</f>
        <v>#VALUE!</v>
      </c>
      <c r="P36" s="33">
        <v>0.4</v>
      </c>
      <c r="Q36" s="32" t="str">
        <f>IF(R36&lt;&gt;"",$E36*R36,"")</f>
        <v/>
      </c>
      <c r="R36" s="33"/>
      <c r="S36" s="34"/>
      <c r="T36" s="34" t="e">
        <f>SUM(H36,J36,L36,N36,P36,R36,#REF!,#REF!,#REF!,#REF!)</f>
        <v>#REF!</v>
      </c>
      <c r="U36" s="35" t="e">
        <f>SUM(G36,I36,K36,M36,O36,Q36,#REF!,#REF!,#REF!,#REF!)</f>
        <v>#REF!</v>
      </c>
      <c r="V36" s="29" t="e">
        <f>E36=U36</f>
        <v>#VALUE!</v>
      </c>
      <c r="W36" s="29"/>
      <c r="X36" s="29"/>
      <c r="Y36" s="29"/>
      <c r="Z36" s="29"/>
    </row>
    <row r="37" spans="1:26" ht="7.5" customHeight="1" x14ac:dyDescent="0.3">
      <c r="A37" s="29"/>
      <c r="B37" s="14"/>
      <c r="C37" s="30"/>
      <c r="D37" s="31"/>
      <c r="E37" s="32" t="str">
        <f>IF(B37="","",SUMIF('[1]001.Orçamento Global'!$D$10:$D$24,'004. Cronograma Físico-Financ.'!B37,'[1]001.Orçamento Global'!$E$10:$E$24))</f>
        <v/>
      </c>
      <c r="F37" s="33"/>
      <c r="G37" s="32" t="str">
        <f t="shared" ref="G37:R37" si="8">IF(G36&lt;&gt;"",1,"")</f>
        <v/>
      </c>
      <c r="H37" s="32" t="str">
        <f t="shared" si="8"/>
        <v/>
      </c>
      <c r="I37" s="32" t="str">
        <f t="shared" si="8"/>
        <v/>
      </c>
      <c r="J37" s="33" t="str">
        <f t="shared" si="8"/>
        <v/>
      </c>
      <c r="K37" s="32" t="e">
        <f t="shared" si="8"/>
        <v>#VALUE!</v>
      </c>
      <c r="L37" s="33">
        <f t="shared" si="8"/>
        <v>1</v>
      </c>
      <c r="M37" s="32" t="e">
        <f t="shared" si="8"/>
        <v>#VALUE!</v>
      </c>
      <c r="N37" s="33">
        <f t="shared" si="8"/>
        <v>1</v>
      </c>
      <c r="O37" s="32" t="e">
        <f t="shared" si="8"/>
        <v>#VALUE!</v>
      </c>
      <c r="P37" s="33">
        <f t="shared" si="8"/>
        <v>1</v>
      </c>
      <c r="Q37" s="32" t="str">
        <f t="shared" si="8"/>
        <v/>
      </c>
      <c r="R37" s="33" t="str">
        <f t="shared" si="8"/>
        <v/>
      </c>
      <c r="S37" s="34"/>
      <c r="T37" s="34"/>
      <c r="U37" s="29"/>
      <c r="V37" s="29"/>
      <c r="W37" s="29"/>
      <c r="X37" s="29"/>
      <c r="Y37" s="29"/>
      <c r="Z37" s="29"/>
    </row>
    <row r="38" spans="1:26" ht="7.5" customHeight="1" x14ac:dyDescent="0.3">
      <c r="A38" s="29"/>
      <c r="B38" s="14"/>
      <c r="C38" s="36"/>
      <c r="D38" s="37"/>
      <c r="E38" s="38" t="str">
        <f>IF(B38="","",SUMIF('[1]001.Orçamento Global'!$D$10:$D$24,'004. Cronograma Físico-Financ.'!B38,'[1]001.Orçamento Global'!$E$10:$E$24))</f>
        <v/>
      </c>
      <c r="F38" s="39"/>
      <c r="G38" s="38"/>
      <c r="H38" s="39"/>
      <c r="I38" s="38"/>
      <c r="J38" s="39"/>
      <c r="K38" s="38"/>
      <c r="L38" s="39"/>
      <c r="M38" s="38"/>
      <c r="N38" s="39"/>
      <c r="O38" s="38"/>
      <c r="P38" s="39"/>
      <c r="Q38" s="38"/>
      <c r="R38" s="39"/>
      <c r="S38" s="29"/>
      <c r="T38" s="29"/>
      <c r="U38" s="29"/>
      <c r="V38" s="29"/>
      <c r="W38" s="29"/>
      <c r="X38" s="29"/>
      <c r="Y38" s="29"/>
      <c r="Z38" s="29"/>
    </row>
    <row r="39" spans="1:26" ht="16.5" customHeight="1" x14ac:dyDescent="0.3">
      <c r="A39" s="29"/>
      <c r="B39" s="40" t="s">
        <v>36</v>
      </c>
      <c r="C39" s="36" t="s">
        <v>31</v>
      </c>
      <c r="D39" s="37" t="s">
        <v>36</v>
      </c>
      <c r="E39" s="38" t="e">
        <f>IF(B39="","",SUMIF('[1]001.Orçamento Global'!$D$10:$D$24,'004. Cronograma Físico-Financ.'!B39,'[1]001.Orçamento Global'!$E$10:$E$24))</f>
        <v>#VALUE!</v>
      </c>
      <c r="F39" s="39" t="e">
        <f>E39/$E$47</f>
        <v>#VALUE!</v>
      </c>
      <c r="G39" s="38" t="str">
        <f>IF(H39&lt;&gt;"",$E39*H39,"")</f>
        <v/>
      </c>
      <c r="H39" s="39"/>
      <c r="I39" s="38" t="str">
        <f>IF(J39&lt;&gt;"",$E39*J39,"")</f>
        <v/>
      </c>
      <c r="J39" s="39"/>
      <c r="K39" s="38" t="str">
        <f>IF(L39&lt;&gt;"",$E39*L39,"")</f>
        <v/>
      </c>
      <c r="L39" s="39"/>
      <c r="M39" s="38" t="e">
        <f>IF(N39&lt;&gt;"",$E39*N39,"")</f>
        <v>#VALUE!</v>
      </c>
      <c r="N39" s="39">
        <v>0.25</v>
      </c>
      <c r="O39" s="38" t="e">
        <f>IF(P39&lt;&gt;"",$E39*P39,"")</f>
        <v>#VALUE!</v>
      </c>
      <c r="P39" s="39">
        <v>0.3</v>
      </c>
      <c r="Q39" s="38" t="e">
        <f>IF(R39&lt;&gt;"",$E39*R39,"")</f>
        <v>#VALUE!</v>
      </c>
      <c r="R39" s="39">
        <v>0.45</v>
      </c>
      <c r="S39" s="34"/>
      <c r="T39" s="34" t="e">
        <f>SUM(H39,J39,L39,N39,P39,R39,#REF!,#REF!,#REF!,#REF!)</f>
        <v>#REF!</v>
      </c>
      <c r="U39" s="35" t="e">
        <f>SUM(G39,I39,K39,M39,O39,Q39,#REF!,#REF!,#REF!,#REF!)</f>
        <v>#REF!</v>
      </c>
      <c r="V39" s="29" t="e">
        <f>E39=U39</f>
        <v>#VALUE!</v>
      </c>
      <c r="W39" s="29"/>
      <c r="X39" s="29"/>
      <c r="Y39" s="29"/>
      <c r="Z39" s="29"/>
    </row>
    <row r="40" spans="1:26" ht="7.5" customHeight="1" x14ac:dyDescent="0.3">
      <c r="A40" s="29"/>
      <c r="B40" s="14"/>
      <c r="C40" s="36"/>
      <c r="D40" s="37"/>
      <c r="E40" s="38" t="str">
        <f>IF(B40="","",SUMIF('[1]001.Orçamento Global'!$D$10:$D$24,'004. Cronograma Físico-Financ.'!B40,'[1]001.Orçamento Global'!$E$10:$E$24))</f>
        <v/>
      </c>
      <c r="F40" s="39"/>
      <c r="G40" s="38" t="str">
        <f t="shared" ref="G40:R40" si="9">IF(G39&lt;&gt;"",1,"")</f>
        <v/>
      </c>
      <c r="H40" s="38" t="str">
        <f t="shared" si="9"/>
        <v/>
      </c>
      <c r="I40" s="38" t="str">
        <f t="shared" si="9"/>
        <v/>
      </c>
      <c r="J40" s="39" t="str">
        <f t="shared" si="9"/>
        <v/>
      </c>
      <c r="K40" s="38" t="str">
        <f t="shared" si="9"/>
        <v/>
      </c>
      <c r="L40" s="39" t="str">
        <f t="shared" si="9"/>
        <v/>
      </c>
      <c r="M40" s="38" t="e">
        <f t="shared" si="9"/>
        <v>#VALUE!</v>
      </c>
      <c r="N40" s="39">
        <f t="shared" si="9"/>
        <v>1</v>
      </c>
      <c r="O40" s="38" t="e">
        <f t="shared" si="9"/>
        <v>#VALUE!</v>
      </c>
      <c r="P40" s="39">
        <f t="shared" si="9"/>
        <v>1</v>
      </c>
      <c r="Q40" s="38" t="e">
        <f t="shared" si="9"/>
        <v>#VALUE!</v>
      </c>
      <c r="R40" s="39">
        <f t="shared" si="9"/>
        <v>1</v>
      </c>
      <c r="S40" s="34"/>
      <c r="T40" s="34"/>
      <c r="U40" s="29"/>
      <c r="V40" s="29"/>
      <c r="W40" s="29"/>
      <c r="X40" s="29"/>
      <c r="Y40" s="29"/>
      <c r="Z40" s="29"/>
    </row>
    <row r="41" spans="1:26" ht="7.5" customHeight="1" x14ac:dyDescent="0.3">
      <c r="A41" s="29"/>
      <c r="B41" s="14"/>
      <c r="C41" s="30"/>
      <c r="D41" s="31"/>
      <c r="E41" s="32" t="str">
        <f>IF(B41="","",SUMIF('[1]001.Orçamento Global'!$D$10:$D$24,'004. Cronograma Físico-Financ.'!B41,'[1]001.Orçamento Global'!$E$10:$E$24))</f>
        <v/>
      </c>
      <c r="F41" s="33"/>
      <c r="G41" s="32"/>
      <c r="H41" s="33"/>
      <c r="I41" s="32"/>
      <c r="J41" s="33"/>
      <c r="K41" s="32"/>
      <c r="L41" s="33"/>
      <c r="M41" s="32"/>
      <c r="N41" s="33"/>
      <c r="O41" s="32"/>
      <c r="P41" s="33"/>
      <c r="Q41" s="32"/>
      <c r="R41" s="33"/>
      <c r="S41" s="29"/>
      <c r="T41" s="29"/>
      <c r="U41" s="29"/>
      <c r="V41" s="29"/>
      <c r="W41" s="29"/>
      <c r="X41" s="29"/>
      <c r="Y41" s="29"/>
      <c r="Z41" s="29"/>
    </row>
    <row r="42" spans="1:26" ht="16.5" customHeight="1" x14ac:dyDescent="0.3">
      <c r="A42" s="29"/>
      <c r="B42" s="40" t="s">
        <v>37</v>
      </c>
      <c r="C42" s="30" t="s">
        <v>32</v>
      </c>
      <c r="D42" s="31" t="s">
        <v>37</v>
      </c>
      <c r="E42" s="32" t="e">
        <f>IF(B42="","",SUMIF('[1]001.Orçamento Global'!$D$10:$D$24,'004. Cronograma Físico-Financ.'!B42,'[1]001.Orçamento Global'!$E$10:$E$24))</f>
        <v>#VALUE!</v>
      </c>
      <c r="F42" s="33" t="e">
        <f>E42/$E$47</f>
        <v>#VALUE!</v>
      </c>
      <c r="G42" s="32" t="str">
        <f>IF(H42&lt;&gt;"",$E42*H42,"")</f>
        <v/>
      </c>
      <c r="H42" s="33"/>
      <c r="I42" s="32" t="str">
        <f>IF(J42&lt;&gt;"",$E42*J42,"")</f>
        <v/>
      </c>
      <c r="J42" s="33"/>
      <c r="K42" s="32" t="str">
        <f>IF(L42&lt;&gt;"",$E42*L42,"")</f>
        <v/>
      </c>
      <c r="L42" s="33"/>
      <c r="M42" s="32" t="str">
        <f>IF(N42&lt;&gt;"",$E42*N42,"")</f>
        <v/>
      </c>
      <c r="N42" s="33"/>
      <c r="O42" s="32" t="str">
        <f>IF(P42&lt;&gt;"",$E42*P42,"")</f>
        <v/>
      </c>
      <c r="P42" s="33"/>
      <c r="Q42" s="32" t="e">
        <f>IF(R42&lt;&gt;"",$E42*R42,"")</f>
        <v>#VALUE!</v>
      </c>
      <c r="R42" s="33">
        <v>1</v>
      </c>
      <c r="S42" s="34"/>
      <c r="T42" s="34" t="e">
        <f>SUM(H42,J42,L42,N42,P42,R42,#REF!,#REF!,#REF!,#REF!)</f>
        <v>#REF!</v>
      </c>
      <c r="U42" s="35" t="e">
        <f>SUM(G42,I42,K42,M42,O42,Q42,#REF!,#REF!,#REF!,#REF!)</f>
        <v>#REF!</v>
      </c>
      <c r="V42" s="29" t="e">
        <f>E42=U42</f>
        <v>#VALUE!</v>
      </c>
      <c r="W42" s="29"/>
      <c r="X42" s="29"/>
      <c r="Y42" s="29"/>
      <c r="Z42" s="29"/>
    </row>
    <row r="43" spans="1:26" ht="7.5" customHeight="1" x14ac:dyDescent="0.3">
      <c r="A43" s="29"/>
      <c r="B43" s="14"/>
      <c r="C43" s="30"/>
      <c r="D43" s="31"/>
      <c r="E43" s="32" t="str">
        <f>IF(B43="","",SUMIF('[1]001.Orçamento Global'!$D$10:$D$24,'004. Cronograma Físico-Financ.'!B43,'[1]001.Orçamento Global'!$E$10:$E$24))</f>
        <v/>
      </c>
      <c r="F43" s="33"/>
      <c r="G43" s="32" t="str">
        <f t="shared" ref="G43:R43" si="10">IF(G42&lt;&gt;"",1,"")</f>
        <v/>
      </c>
      <c r="H43" s="32" t="str">
        <f t="shared" si="10"/>
        <v/>
      </c>
      <c r="I43" s="32" t="str">
        <f t="shared" si="10"/>
        <v/>
      </c>
      <c r="J43" s="33" t="str">
        <f t="shared" si="10"/>
        <v/>
      </c>
      <c r="K43" s="32" t="str">
        <f t="shared" si="10"/>
        <v/>
      </c>
      <c r="L43" s="33" t="str">
        <f t="shared" si="10"/>
        <v/>
      </c>
      <c r="M43" s="32" t="str">
        <f t="shared" si="10"/>
        <v/>
      </c>
      <c r="N43" s="33" t="str">
        <f t="shared" si="10"/>
        <v/>
      </c>
      <c r="O43" s="32" t="str">
        <f t="shared" si="10"/>
        <v/>
      </c>
      <c r="P43" s="33" t="str">
        <f t="shared" si="10"/>
        <v/>
      </c>
      <c r="Q43" s="32" t="e">
        <f t="shared" si="10"/>
        <v>#VALUE!</v>
      </c>
      <c r="R43" s="33">
        <f t="shared" si="10"/>
        <v>1</v>
      </c>
      <c r="S43" s="34"/>
      <c r="T43" s="34"/>
      <c r="U43" s="29"/>
      <c r="V43" s="29"/>
      <c r="W43" s="29"/>
      <c r="X43" s="29"/>
      <c r="Y43" s="29"/>
      <c r="Z43" s="29"/>
    </row>
    <row r="44" spans="1:26" ht="7.5" customHeight="1" x14ac:dyDescent="0.3">
      <c r="A44" s="41"/>
      <c r="B44" s="42"/>
      <c r="C44" s="43"/>
      <c r="D44" s="44"/>
      <c r="E44" s="45" t="str">
        <f>IF(B44="","",SUMIF('[1]001.Orçamento Global'!$D$10:$D$24,'004. Cronograma Físico-Financ.'!B44,'[1]001.Orçamento Global'!$E$10:$E$24))</f>
        <v/>
      </c>
      <c r="F44" s="46"/>
      <c r="G44" s="45"/>
      <c r="H44" s="46"/>
      <c r="I44" s="45"/>
      <c r="J44" s="46"/>
      <c r="K44" s="45"/>
      <c r="L44" s="46"/>
      <c r="M44" s="45"/>
      <c r="N44" s="46"/>
      <c r="O44" s="45"/>
      <c r="P44" s="46"/>
      <c r="Q44" s="45"/>
      <c r="R44" s="46"/>
      <c r="S44" s="41"/>
      <c r="T44" s="41"/>
      <c r="U44" s="41"/>
      <c r="V44" s="41"/>
      <c r="W44" s="41"/>
      <c r="X44" s="41"/>
      <c r="Y44" s="41"/>
      <c r="Z44" s="41"/>
    </row>
    <row r="45" spans="1:26" ht="16.5" customHeight="1" x14ac:dyDescent="0.3">
      <c r="A45" s="41"/>
      <c r="B45" s="47" t="s">
        <v>38</v>
      </c>
      <c r="C45" s="43" t="s">
        <v>34</v>
      </c>
      <c r="D45" s="44" t="s">
        <v>38</v>
      </c>
      <c r="E45" s="45" t="e">
        <f>IF(B45="","",SUMIF('[1]001.Orçamento Global'!$D$10:$D$24,'004. Cronograma Físico-Financ.'!B45,'[1]001.Orçamento Global'!$E$10:$E$24))</f>
        <v>#VALUE!</v>
      </c>
      <c r="F45" s="46" t="e">
        <f>E45/$E$47</f>
        <v>#VALUE!</v>
      </c>
      <c r="G45" s="45" t="str">
        <f>IF(H45&lt;&gt;"",$E45*H45,"")</f>
        <v/>
      </c>
      <c r="H45" s="46"/>
      <c r="I45" s="45" t="str">
        <f>IF(J45&lt;&gt;"",$E45*J45,"")</f>
        <v/>
      </c>
      <c r="J45" s="46"/>
      <c r="K45" s="45" t="str">
        <f>IF(L45&lt;&gt;"",$E45*L45,"")</f>
        <v/>
      </c>
      <c r="L45" s="46"/>
      <c r="M45" s="45" t="str">
        <f>IF(N45&lt;&gt;"",$E45*N45,"")</f>
        <v/>
      </c>
      <c r="N45" s="46"/>
      <c r="O45" s="45" t="str">
        <f>IF(P45&lt;&gt;"",$E45*P45,"")</f>
        <v/>
      </c>
      <c r="P45" s="46"/>
      <c r="Q45" s="45" t="e">
        <f>IF(R45&lt;&gt;"",$E45*R45,"")</f>
        <v>#VALUE!</v>
      </c>
      <c r="R45" s="46">
        <v>1</v>
      </c>
      <c r="S45" s="48"/>
      <c r="T45" s="48" t="e">
        <f>SUM(H45,J45,L45,N45,P45,R45,#REF!,#REF!,#REF!,#REF!)</f>
        <v>#REF!</v>
      </c>
      <c r="U45" s="49" t="e">
        <f>SUM(G45,I45,K45,M45,O45,Q45,#REF!,#REF!,#REF!,#REF!)</f>
        <v>#REF!</v>
      </c>
      <c r="V45" s="41" t="e">
        <f>E45=U45</f>
        <v>#VALUE!</v>
      </c>
      <c r="W45" s="41"/>
      <c r="X45" s="41"/>
      <c r="Y45" s="41"/>
      <c r="Z45" s="41"/>
    </row>
    <row r="46" spans="1:26" ht="7.5" customHeight="1" x14ac:dyDescent="0.3">
      <c r="A46" s="41"/>
      <c r="B46" s="42"/>
      <c r="C46" s="43"/>
      <c r="D46" s="44"/>
      <c r="E46" s="45" t="str">
        <f>IF(B46="","",SUMIF('[1]001.Orçamento Global'!$D$10:$D$24,'004. Cronograma Físico-Financ.'!B46,'[1]001.Orçamento Global'!$E$10:$E$24))</f>
        <v/>
      </c>
      <c r="F46" s="46"/>
      <c r="G46" s="45" t="str">
        <f t="shared" ref="G46:R46" si="11">IF(G45&lt;&gt;"",1,"")</f>
        <v/>
      </c>
      <c r="H46" s="45" t="str">
        <f t="shared" si="11"/>
        <v/>
      </c>
      <c r="I46" s="45" t="str">
        <f t="shared" si="11"/>
        <v/>
      </c>
      <c r="J46" s="46" t="str">
        <f t="shared" si="11"/>
        <v/>
      </c>
      <c r="K46" s="45" t="str">
        <f t="shared" si="11"/>
        <v/>
      </c>
      <c r="L46" s="46" t="str">
        <f t="shared" si="11"/>
        <v/>
      </c>
      <c r="M46" s="45" t="str">
        <f t="shared" si="11"/>
        <v/>
      </c>
      <c r="N46" s="46" t="str">
        <f t="shared" si="11"/>
        <v/>
      </c>
      <c r="O46" s="45" t="str">
        <f t="shared" si="11"/>
        <v/>
      </c>
      <c r="P46" s="46" t="str">
        <f t="shared" si="11"/>
        <v/>
      </c>
      <c r="Q46" s="45" t="e">
        <f t="shared" si="11"/>
        <v>#VALUE!</v>
      </c>
      <c r="R46" s="46">
        <f t="shared" si="11"/>
        <v>1</v>
      </c>
      <c r="S46" s="48"/>
      <c r="T46" s="48"/>
      <c r="U46" s="41"/>
      <c r="V46" s="41"/>
      <c r="W46" s="41"/>
      <c r="X46" s="41"/>
      <c r="Y46" s="41"/>
      <c r="Z46" s="41"/>
    </row>
    <row r="47" spans="1:26" ht="16.5" customHeight="1" x14ac:dyDescent="0.3">
      <c r="A47" s="14"/>
      <c r="B47" s="14"/>
      <c r="C47" s="55"/>
      <c r="D47" s="56" t="s">
        <v>61</v>
      </c>
      <c r="E47" s="57" t="e">
        <f>SUM(E12,E15,E21,E24,E30,E33,E36,E39,E45,E42,E27,E18)</f>
        <v>#VALUE!</v>
      </c>
      <c r="F47" s="58">
        <v>1</v>
      </c>
      <c r="G47" s="57" t="e">
        <f>SUM(G12,G15,G21,G24,G30,G33,G36,G39,G45,G27,G18,G42)</f>
        <v>#VALUE!</v>
      </c>
      <c r="H47" s="59" t="e">
        <f>G47/$E$47</f>
        <v>#VALUE!</v>
      </c>
      <c r="I47" s="57" t="e">
        <f>SUM(I12,I15,I21,I24,I30,I33,I36,I39,I45,I27,I18,I42)</f>
        <v>#VALUE!</v>
      </c>
      <c r="J47" s="59" t="e">
        <f>I47/$E$47</f>
        <v>#VALUE!</v>
      </c>
      <c r="K47" s="57" t="e">
        <f>SUM(K12,K15,K21,K24,K30,K33,K36,K39,K45,K27,K18,K42)</f>
        <v>#VALUE!</v>
      </c>
      <c r="L47" s="59" t="e">
        <f>K47/$E$47</f>
        <v>#VALUE!</v>
      </c>
      <c r="M47" s="57" t="e">
        <f>SUM(M12,M15,M21,M24,M30,M33,M36,M39,M45,M27,M18,M42)</f>
        <v>#VALUE!</v>
      </c>
      <c r="N47" s="59" t="e">
        <f>M47/$E$47</f>
        <v>#VALUE!</v>
      </c>
      <c r="O47" s="57" t="e">
        <f>SUM(O12,O15,O21,O24,O30,O33,O36,O39,O45,O27,O18,O42)</f>
        <v>#VALUE!</v>
      </c>
      <c r="P47" s="59" t="e">
        <f>O47/$E$47</f>
        <v>#VALUE!</v>
      </c>
      <c r="Q47" s="57" t="e">
        <f>SUM(Q12,Q15,Q21,Q24,Q30,Q33,Q36,Q39,Q45,Q27,Q18,Q42)</f>
        <v>#VALUE!</v>
      </c>
      <c r="R47" s="59" t="e">
        <f>Q47/$E$47</f>
        <v>#VALUE!</v>
      </c>
      <c r="S47" s="14"/>
      <c r="T47" s="14"/>
      <c r="U47" s="14"/>
      <c r="V47" s="14"/>
      <c r="W47" s="14"/>
      <c r="X47" s="14"/>
      <c r="Y47" s="14"/>
      <c r="Z47" s="14"/>
    </row>
    <row r="48" spans="1:26" ht="16.5" customHeight="1" x14ac:dyDescent="0.3">
      <c r="A48" s="14"/>
      <c r="B48" s="14"/>
      <c r="C48" s="55"/>
      <c r="D48" s="56" t="s">
        <v>62</v>
      </c>
      <c r="E48" s="57" t="e">
        <f>E47</f>
        <v>#VALUE!</v>
      </c>
      <c r="F48" s="58">
        <v>1</v>
      </c>
      <c r="G48" s="57" t="e">
        <f>G47</f>
        <v>#VALUE!</v>
      </c>
      <c r="H48" s="60" t="e">
        <f>G48/$E$48</f>
        <v>#VALUE!</v>
      </c>
      <c r="I48" s="57" t="e">
        <f>G48+I47</f>
        <v>#VALUE!</v>
      </c>
      <c r="J48" s="60" t="e">
        <f>I48/$E$48</f>
        <v>#VALUE!</v>
      </c>
      <c r="K48" s="57" t="e">
        <f>I48+K47</f>
        <v>#VALUE!</v>
      </c>
      <c r="L48" s="60" t="e">
        <f>K48/$E$48</f>
        <v>#VALUE!</v>
      </c>
      <c r="M48" s="57" t="e">
        <f>K48+M47</f>
        <v>#VALUE!</v>
      </c>
      <c r="N48" s="60" t="e">
        <f>M48/$E$48</f>
        <v>#VALUE!</v>
      </c>
      <c r="O48" s="57" t="e">
        <f>M48+O47</f>
        <v>#VALUE!</v>
      </c>
      <c r="P48" s="60" t="e">
        <f>O48/$E$48</f>
        <v>#VALUE!</v>
      </c>
      <c r="Q48" s="57" t="e">
        <f>O48+Q47</f>
        <v>#VALUE!</v>
      </c>
      <c r="R48" s="60" t="e">
        <f>Q48/$E$48</f>
        <v>#VALUE!</v>
      </c>
      <c r="S48" s="14"/>
      <c r="T48" s="14"/>
      <c r="U48" s="14"/>
      <c r="V48" s="14"/>
      <c r="W48" s="14"/>
      <c r="X48" s="14"/>
      <c r="Y48" s="14"/>
      <c r="Z48" s="14"/>
    </row>
    <row r="49" spans="1:26" ht="16.5" hidden="1" customHeight="1" x14ac:dyDescent="0.3">
      <c r="A49" s="10"/>
      <c r="B49" s="14"/>
      <c r="C49" s="10"/>
      <c r="D49" s="10"/>
      <c r="E49" s="10"/>
      <c r="F49" s="10"/>
      <c r="G49" s="61" t="e">
        <f>$E$47/10</f>
        <v>#VALUE!</v>
      </c>
      <c r="H49" s="11"/>
      <c r="I49" s="61" t="e">
        <f>$E$47/10</f>
        <v>#VALUE!</v>
      </c>
      <c r="J49" s="11"/>
      <c r="K49" s="61" t="e">
        <f>$E$47/10</f>
        <v>#VALUE!</v>
      </c>
      <c r="L49" s="11"/>
      <c r="M49" s="61" t="e">
        <f>$E$47/10</f>
        <v>#VALUE!</v>
      </c>
      <c r="N49" s="11"/>
      <c r="O49" s="61" t="e">
        <f>$E$47/10</f>
        <v>#VALUE!</v>
      </c>
      <c r="P49" s="11"/>
      <c r="Q49" s="61" t="e">
        <f>$E$47/10</f>
        <v>#VALUE!</v>
      </c>
      <c r="R49" s="11"/>
      <c r="S49" s="10"/>
      <c r="T49" s="10"/>
      <c r="U49" s="10"/>
      <c r="V49" s="10"/>
      <c r="W49" s="10"/>
      <c r="X49" s="10"/>
      <c r="Y49" s="10"/>
      <c r="Z49" s="10"/>
    </row>
    <row r="50" spans="1:26" ht="16.5" hidden="1" customHeight="1" x14ac:dyDescent="0.3">
      <c r="A50" s="10"/>
      <c r="B50" s="14"/>
      <c r="C50" s="10"/>
      <c r="D50" s="10"/>
      <c r="E50" s="10"/>
      <c r="F50" s="10"/>
      <c r="G50" s="61" t="e">
        <f>G49-G47</f>
        <v>#VALUE!</v>
      </c>
      <c r="H50" s="61"/>
      <c r="I50" s="61" t="e">
        <f>I49-I47</f>
        <v>#VALUE!</v>
      </c>
      <c r="J50" s="61"/>
      <c r="K50" s="61" t="e">
        <f>K49-K47</f>
        <v>#VALUE!</v>
      </c>
      <c r="L50" s="61"/>
      <c r="M50" s="61" t="e">
        <f>M49-M47</f>
        <v>#VALUE!</v>
      </c>
      <c r="N50" s="61"/>
      <c r="O50" s="61" t="e">
        <f>O49-O47</f>
        <v>#VALUE!</v>
      </c>
      <c r="P50" s="61"/>
      <c r="Q50" s="61" t="e">
        <f>Q49-Q47</f>
        <v>#VALUE!</v>
      </c>
      <c r="R50" s="61"/>
      <c r="S50" s="10"/>
      <c r="T50" s="10"/>
      <c r="U50" s="10"/>
      <c r="V50" s="10"/>
      <c r="W50" s="10"/>
      <c r="X50" s="10"/>
      <c r="Y50" s="10"/>
      <c r="Z50" s="10"/>
    </row>
    <row r="51" spans="1:26" ht="16.5" customHeight="1" x14ac:dyDescent="0.3">
      <c r="A51" s="10"/>
      <c r="B51" s="14"/>
      <c r="C51" s="10"/>
      <c r="D51" s="10"/>
      <c r="E51" s="10"/>
      <c r="F51" s="1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10"/>
      <c r="T51" s="10"/>
      <c r="U51" s="10"/>
      <c r="V51" s="10"/>
      <c r="W51" s="10"/>
      <c r="X51" s="10"/>
      <c r="Y51" s="10"/>
      <c r="Z51" s="10"/>
    </row>
    <row r="52" spans="1:26" ht="16.5" customHeight="1" x14ac:dyDescent="0.3">
      <c r="A52" s="10"/>
      <c r="B52" s="14"/>
      <c r="C52" s="10"/>
      <c r="D52" s="10"/>
      <c r="E52" s="10"/>
      <c r="F52" s="10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10"/>
      <c r="T52" s="10"/>
      <c r="U52" s="10"/>
      <c r="V52" s="10"/>
      <c r="W52" s="10"/>
      <c r="X52" s="10"/>
      <c r="Y52" s="10"/>
      <c r="Z52" s="10"/>
    </row>
    <row r="53" spans="1:26" ht="16.5" customHeight="1" x14ac:dyDescent="0.3">
      <c r="A53" s="10"/>
      <c r="B53" s="14"/>
      <c r="C53" s="10"/>
      <c r="D53" s="10"/>
      <c r="E53" s="10"/>
      <c r="F53" s="10"/>
      <c r="G53" s="11"/>
      <c r="H53" s="11"/>
      <c r="I53" s="11" t="s">
        <v>44</v>
      </c>
      <c r="J53" s="11" t="s">
        <v>63</v>
      </c>
      <c r="K53" s="11" t="s">
        <v>64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6.5" customHeight="1" x14ac:dyDescent="0.3">
      <c r="A54" s="10"/>
      <c r="B54" s="14"/>
      <c r="C54" s="10"/>
      <c r="D54" s="10"/>
      <c r="E54" s="10"/>
      <c r="F54" s="10"/>
      <c r="G54" s="11"/>
      <c r="H54" s="11"/>
      <c r="I54" s="11">
        <v>15</v>
      </c>
      <c r="J54" s="62" t="e">
        <f>$H$47</f>
        <v>#VALUE!</v>
      </c>
      <c r="K54" s="62" t="e">
        <f>J54</f>
        <v>#VALUE!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6.5" customHeight="1" x14ac:dyDescent="0.3">
      <c r="A55" s="10"/>
      <c r="B55" s="14"/>
      <c r="C55" s="10"/>
      <c r="D55" s="10"/>
      <c r="E55" s="10"/>
      <c r="F55" s="10"/>
      <c r="G55" s="11"/>
      <c r="H55" s="11"/>
      <c r="I55" s="11">
        <v>30</v>
      </c>
      <c r="J55" s="62" t="e">
        <f>$J$47</f>
        <v>#VALUE!</v>
      </c>
      <c r="K55" s="62" t="e">
        <f>K54+J55</f>
        <v>#VALUE!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6.5" customHeight="1" x14ac:dyDescent="0.3">
      <c r="A56" s="10"/>
      <c r="B56" s="14"/>
      <c r="C56" s="10"/>
      <c r="D56" s="10"/>
      <c r="E56" s="10"/>
      <c r="F56" s="10"/>
      <c r="G56" s="11"/>
      <c r="H56" s="11"/>
      <c r="I56" s="11">
        <v>45</v>
      </c>
      <c r="J56" s="62" t="e">
        <f>$L$47</f>
        <v>#VALUE!</v>
      </c>
      <c r="K56" s="62" t="e">
        <f>K55+J56</f>
        <v>#VALUE!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6.5" customHeight="1" x14ac:dyDescent="0.3">
      <c r="A57" s="10"/>
      <c r="B57" s="14"/>
      <c r="C57" s="10"/>
      <c r="D57" s="10"/>
      <c r="E57" s="10"/>
      <c r="F57" s="10"/>
      <c r="G57" s="11"/>
      <c r="H57" s="11"/>
      <c r="I57" s="11">
        <v>60</v>
      </c>
      <c r="J57" s="62" t="e">
        <f>$N$47</f>
        <v>#VALUE!</v>
      </c>
      <c r="K57" s="62" t="e">
        <f>K56+J57</f>
        <v>#VALUE!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6.5" customHeight="1" x14ac:dyDescent="0.3">
      <c r="A58" s="10"/>
      <c r="B58" s="14"/>
      <c r="C58" s="10"/>
      <c r="D58" s="10"/>
      <c r="E58" s="10"/>
      <c r="F58" s="10"/>
      <c r="G58" s="11"/>
      <c r="H58" s="11"/>
      <c r="I58" s="11">
        <v>75</v>
      </c>
      <c r="J58" s="62" t="e">
        <f>$P$47</f>
        <v>#VALUE!</v>
      </c>
      <c r="K58" s="62" t="e">
        <f>K57+J58</f>
        <v>#VALUE!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6.5" customHeight="1" x14ac:dyDescent="0.3">
      <c r="A59" s="10"/>
      <c r="B59" s="14"/>
      <c r="C59" s="10"/>
      <c r="D59" s="10"/>
      <c r="E59" s="10"/>
      <c r="F59" s="10"/>
      <c r="G59" s="11"/>
      <c r="H59" s="11"/>
      <c r="I59" s="11">
        <v>90</v>
      </c>
      <c r="J59" s="62" t="e">
        <f>$R$47</f>
        <v>#VALUE!</v>
      </c>
      <c r="K59" s="62" t="e">
        <f>K58+J59</f>
        <v>#VALUE!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6.5" customHeight="1" x14ac:dyDescent="0.3">
      <c r="A60" s="10"/>
      <c r="B60" s="14"/>
      <c r="C60" s="10"/>
      <c r="D60" s="10"/>
      <c r="E60" s="10"/>
      <c r="F60" s="10"/>
      <c r="G60" s="11"/>
      <c r="H60" s="11"/>
      <c r="I60" s="11"/>
      <c r="J60" s="62"/>
      <c r="K60" s="6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6.5" customHeight="1" x14ac:dyDescent="0.3">
      <c r="A61" s="10"/>
      <c r="B61" s="14"/>
      <c r="C61" s="10"/>
      <c r="D61" s="10"/>
      <c r="E61" s="10"/>
      <c r="F61" s="10"/>
      <c r="G61" s="11"/>
      <c r="H61" s="11"/>
      <c r="I61" s="11"/>
      <c r="J61" s="62"/>
      <c r="K61" s="6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6.5" customHeight="1" x14ac:dyDescent="0.3">
      <c r="A62" s="10"/>
      <c r="B62" s="14"/>
      <c r="C62" s="10"/>
      <c r="D62" s="10"/>
      <c r="E62" s="10"/>
      <c r="F62" s="10"/>
      <c r="G62" s="11"/>
      <c r="H62" s="11"/>
      <c r="I62" s="11"/>
      <c r="J62" s="62"/>
      <c r="K62" s="6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6.5" customHeight="1" x14ac:dyDescent="0.3">
      <c r="A63" s="10"/>
      <c r="B63" s="14"/>
      <c r="C63" s="10"/>
      <c r="D63" s="10"/>
      <c r="E63" s="10"/>
      <c r="F63" s="10"/>
      <c r="G63" s="11"/>
      <c r="H63" s="11"/>
      <c r="I63" s="11"/>
      <c r="J63" s="62"/>
      <c r="K63" s="6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6.5" customHeight="1" x14ac:dyDescent="0.3">
      <c r="A64" s="10"/>
      <c r="B64" s="14"/>
      <c r="C64" s="10"/>
      <c r="D64" s="10"/>
      <c r="E64" s="10"/>
      <c r="F64" s="10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6.5" customHeight="1" x14ac:dyDescent="0.3">
      <c r="A65" s="10"/>
      <c r="B65" s="14"/>
      <c r="C65" s="10"/>
      <c r="D65" s="10"/>
      <c r="E65" s="10"/>
      <c r="F65" s="10"/>
      <c r="G65" s="11"/>
      <c r="H65" s="11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6.5" customHeight="1" x14ac:dyDescent="0.3">
      <c r="A66" s="10"/>
      <c r="B66" s="14"/>
      <c r="C66" s="10"/>
      <c r="D66" s="10"/>
      <c r="E66" s="10"/>
      <c r="F66" s="10"/>
      <c r="G66" s="11"/>
      <c r="H66" s="11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6.5" customHeight="1" x14ac:dyDescent="0.3">
      <c r="A67" s="10"/>
      <c r="B67" s="14"/>
      <c r="C67" s="10"/>
      <c r="D67" s="10"/>
      <c r="E67" s="10"/>
      <c r="F67" s="10"/>
      <c r="G67" s="11"/>
      <c r="H67" s="11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6.5" customHeight="1" x14ac:dyDescent="0.3">
      <c r="A68" s="10"/>
      <c r="B68" s="14"/>
      <c r="C68" s="10"/>
      <c r="D68" s="10"/>
      <c r="E68" s="10"/>
      <c r="F68" s="10"/>
      <c r="G68" s="11"/>
      <c r="H68" s="11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6.5" customHeight="1" x14ac:dyDescent="0.3">
      <c r="A69" s="10"/>
      <c r="B69" s="14"/>
      <c r="C69" s="10"/>
      <c r="D69" s="10"/>
      <c r="E69" s="10"/>
      <c r="F69" s="10"/>
      <c r="G69" s="11"/>
      <c r="H69" s="11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6.5" customHeight="1" x14ac:dyDescent="0.3">
      <c r="A70" s="10"/>
      <c r="B70" s="14"/>
      <c r="C70" s="10"/>
      <c r="D70" s="10"/>
      <c r="E70" s="10"/>
      <c r="F70" s="10"/>
      <c r="G70" s="11"/>
      <c r="H70" s="11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6.5" customHeight="1" x14ac:dyDescent="0.3">
      <c r="A71" s="10"/>
      <c r="B71" s="14"/>
      <c r="C71" s="10"/>
      <c r="D71" s="10"/>
      <c r="E71" s="10"/>
      <c r="F71" s="10"/>
      <c r="G71" s="11"/>
      <c r="H71" s="11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6.5" customHeight="1" x14ac:dyDescent="0.3">
      <c r="A72" s="10"/>
      <c r="B72" s="14"/>
      <c r="C72" s="10"/>
      <c r="D72" s="10"/>
      <c r="E72" s="10"/>
      <c r="F72" s="10"/>
      <c r="G72" s="11"/>
      <c r="H72" s="11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6.5" customHeight="1" x14ac:dyDescent="0.3">
      <c r="A73" s="10"/>
      <c r="B73" s="14"/>
      <c r="C73" s="10"/>
      <c r="D73" s="10"/>
      <c r="E73" s="10"/>
      <c r="F73" s="10"/>
      <c r="G73" s="11"/>
      <c r="H73" s="1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6.5" customHeight="1" x14ac:dyDescent="0.3">
      <c r="A74" s="10"/>
      <c r="B74" s="14"/>
      <c r="C74" s="10"/>
      <c r="D74" s="10"/>
      <c r="E74" s="10"/>
      <c r="F74" s="10"/>
      <c r="G74" s="11"/>
      <c r="H74" s="1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 customHeight="1" x14ac:dyDescent="0.3">
      <c r="A75" s="10"/>
      <c r="B75" s="14"/>
      <c r="C75" s="10"/>
      <c r="D75" s="10"/>
      <c r="E75" s="10"/>
      <c r="F75" s="10"/>
      <c r="G75" s="11"/>
      <c r="H75" s="1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6.5" customHeight="1" x14ac:dyDescent="0.3">
      <c r="A76" s="10"/>
      <c r="B76" s="14"/>
      <c r="C76" s="10"/>
      <c r="D76" s="10"/>
      <c r="E76" s="10"/>
      <c r="F76" s="10"/>
      <c r="G76" s="11"/>
      <c r="H76" s="11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6.5" customHeight="1" x14ac:dyDescent="0.3">
      <c r="A77" s="10"/>
      <c r="B77" s="14"/>
      <c r="C77" s="10"/>
      <c r="D77" s="10"/>
      <c r="E77" s="10"/>
      <c r="F77" s="10"/>
      <c r="G77" s="11"/>
      <c r="H77" s="11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6.5" customHeight="1" x14ac:dyDescent="0.3">
      <c r="A78" s="10"/>
      <c r="B78" s="14"/>
      <c r="C78" s="10"/>
      <c r="D78" s="10"/>
      <c r="E78" s="10"/>
      <c r="F78" s="10"/>
      <c r="G78" s="11"/>
      <c r="H78" s="11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6.5" customHeight="1" x14ac:dyDescent="0.3">
      <c r="A79" s="10"/>
      <c r="B79" s="14"/>
      <c r="C79" s="10"/>
      <c r="D79" s="10"/>
      <c r="E79" s="10"/>
      <c r="F79" s="10"/>
      <c r="G79" s="11"/>
      <c r="H79" s="11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6.5" customHeight="1" x14ac:dyDescent="0.3">
      <c r="A80" s="10"/>
      <c r="B80" s="14"/>
      <c r="C80" s="10"/>
      <c r="D80" s="10"/>
      <c r="E80" s="10"/>
      <c r="F80" s="10"/>
      <c r="G80" s="11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6.5" customHeight="1" x14ac:dyDescent="0.3">
      <c r="A81" s="10"/>
      <c r="B81" s="14"/>
      <c r="C81" s="10"/>
      <c r="D81" s="10"/>
      <c r="E81" s="10"/>
      <c r="F81" s="10"/>
      <c r="G81" s="11"/>
      <c r="H81" s="11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6.5" customHeight="1" x14ac:dyDescent="0.3">
      <c r="A82" s="10"/>
      <c r="B82" s="14"/>
      <c r="C82" s="10"/>
      <c r="D82" s="10"/>
      <c r="E82" s="10"/>
      <c r="F82" s="10"/>
      <c r="G82" s="11"/>
      <c r="H82" s="11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6.5" customHeight="1" x14ac:dyDescent="0.3">
      <c r="A83" s="10"/>
      <c r="B83" s="14"/>
      <c r="C83" s="10"/>
      <c r="D83" s="10"/>
      <c r="E83" s="10"/>
      <c r="F83" s="10"/>
      <c r="G83" s="11"/>
      <c r="H83" s="11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6.5" customHeight="1" x14ac:dyDescent="0.3">
      <c r="A84" s="10"/>
      <c r="B84" s="14"/>
      <c r="C84" s="10"/>
      <c r="D84" s="10"/>
      <c r="E84" s="10"/>
      <c r="F84" s="10"/>
      <c r="G84" s="11"/>
      <c r="H84" s="11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6.5" customHeight="1" x14ac:dyDescent="0.3">
      <c r="A85" s="10"/>
      <c r="B85" s="14"/>
      <c r="C85" s="10"/>
      <c r="D85" s="10"/>
      <c r="E85" s="10"/>
      <c r="F85" s="10"/>
      <c r="G85" s="11"/>
      <c r="H85" s="11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6.5" customHeight="1" x14ac:dyDescent="0.3">
      <c r="A86" s="10"/>
      <c r="B86" s="14"/>
      <c r="C86" s="10"/>
      <c r="D86" s="10"/>
      <c r="E86" s="10"/>
      <c r="F86" s="10"/>
      <c r="G86" s="11"/>
      <c r="H86" s="11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6.5" customHeight="1" x14ac:dyDescent="0.3">
      <c r="A87" s="10"/>
      <c r="B87" s="14"/>
      <c r="C87" s="10"/>
      <c r="D87" s="10"/>
      <c r="E87" s="10"/>
      <c r="F87" s="10"/>
      <c r="G87" s="11"/>
      <c r="H87" s="11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6.5" customHeight="1" x14ac:dyDescent="0.3">
      <c r="A88" s="10"/>
      <c r="B88" s="14"/>
      <c r="C88" s="10"/>
      <c r="D88" s="10"/>
      <c r="E88" s="10"/>
      <c r="F88" s="10"/>
      <c r="G88" s="11"/>
      <c r="H88" s="11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6.5" customHeight="1" x14ac:dyDescent="0.3">
      <c r="A89" s="10"/>
      <c r="B89" s="14"/>
      <c r="C89" s="10"/>
      <c r="D89" s="10"/>
      <c r="E89" s="10"/>
      <c r="F89" s="10"/>
      <c r="G89" s="11"/>
      <c r="H89" s="11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6.5" customHeight="1" x14ac:dyDescent="0.3">
      <c r="A90" s="10"/>
      <c r="B90" s="14"/>
      <c r="C90" s="10"/>
      <c r="D90" s="10"/>
      <c r="E90" s="10"/>
      <c r="F90" s="10"/>
      <c r="G90" s="11"/>
      <c r="H90" s="11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6.5" customHeight="1" x14ac:dyDescent="0.3">
      <c r="A91" s="10"/>
      <c r="B91" s="14"/>
      <c r="C91" s="10"/>
      <c r="D91" s="10"/>
      <c r="E91" s="10"/>
      <c r="F91" s="10"/>
      <c r="G91" s="11"/>
      <c r="H91" s="11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3">
      <c r="A92" s="10"/>
      <c r="B92" s="14"/>
      <c r="C92" s="10"/>
      <c r="D92" s="10"/>
      <c r="E92" s="10"/>
      <c r="F92" s="10"/>
      <c r="G92" s="11"/>
      <c r="H92" s="11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6.5" customHeight="1" x14ac:dyDescent="0.3">
      <c r="A93" s="10"/>
      <c r="B93" s="14"/>
      <c r="C93" s="10"/>
      <c r="D93" s="10"/>
      <c r="E93" s="10"/>
      <c r="F93" s="10"/>
      <c r="G93" s="11"/>
      <c r="H93" s="11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6.5" customHeight="1" x14ac:dyDescent="0.3">
      <c r="A94" s="10"/>
      <c r="B94" s="14"/>
      <c r="C94" s="10"/>
      <c r="D94" s="10"/>
      <c r="E94" s="10"/>
      <c r="F94" s="10"/>
      <c r="G94" s="11"/>
      <c r="H94" s="11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7.5" customHeight="1" x14ac:dyDescent="0.3">
      <c r="A95" s="10"/>
      <c r="B95" s="14"/>
      <c r="C95" s="10"/>
      <c r="D95" s="10"/>
      <c r="E95" s="10"/>
      <c r="F95" s="10"/>
      <c r="G95" s="11"/>
      <c r="H95" s="11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6.5" customHeight="1" x14ac:dyDescent="0.3">
      <c r="A96" s="10"/>
      <c r="B96" s="14"/>
      <c r="C96" s="10"/>
      <c r="D96" s="10"/>
      <c r="E96" s="10"/>
      <c r="F96" s="10"/>
      <c r="G96" s="11"/>
      <c r="H96" s="11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6.5" customHeight="1" x14ac:dyDescent="0.3">
      <c r="A97" s="10"/>
      <c r="B97" s="14"/>
      <c r="C97" s="10"/>
      <c r="D97" s="10"/>
      <c r="E97" s="10"/>
      <c r="F97" s="10"/>
      <c r="G97" s="11"/>
      <c r="H97" s="11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6.5" customHeight="1" x14ac:dyDescent="0.3">
      <c r="A98" s="10"/>
      <c r="B98" s="14"/>
      <c r="C98" s="10"/>
      <c r="D98" s="10"/>
      <c r="E98" s="10"/>
      <c r="F98" s="10"/>
      <c r="G98" s="11"/>
      <c r="H98" s="11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6.5" customHeight="1" x14ac:dyDescent="0.3">
      <c r="A99" s="10"/>
      <c r="B99" s="14"/>
      <c r="C99" s="10"/>
      <c r="D99" s="10"/>
      <c r="E99" s="10"/>
      <c r="F99" s="10"/>
      <c r="G99" s="11"/>
      <c r="H99" s="11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6.5" customHeight="1" x14ac:dyDescent="0.3">
      <c r="A100" s="10"/>
      <c r="B100" s="14"/>
      <c r="C100" s="10"/>
      <c r="D100" s="10"/>
      <c r="E100" s="10"/>
      <c r="F100" s="10"/>
      <c r="G100" s="11"/>
      <c r="H100" s="11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6.5" customHeight="1" x14ac:dyDescent="0.3">
      <c r="A101" s="10"/>
      <c r="B101" s="14"/>
      <c r="C101" s="10"/>
      <c r="D101" s="10"/>
      <c r="E101" s="10"/>
      <c r="F101" s="10"/>
      <c r="G101" s="11"/>
      <c r="H101" s="11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6.5" customHeight="1" x14ac:dyDescent="0.3">
      <c r="A102" s="10"/>
      <c r="B102" s="14"/>
      <c r="C102" s="10"/>
      <c r="D102" s="10"/>
      <c r="E102" s="10"/>
      <c r="F102" s="10"/>
      <c r="G102" s="11"/>
      <c r="H102" s="11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6.5" customHeight="1" x14ac:dyDescent="0.3">
      <c r="A103" s="10"/>
      <c r="B103" s="14"/>
      <c r="C103" s="10"/>
      <c r="D103" s="10"/>
      <c r="E103" s="10"/>
      <c r="F103" s="10"/>
      <c r="G103" s="11"/>
      <c r="H103" s="11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6.5" customHeight="1" x14ac:dyDescent="0.3">
      <c r="A104" s="10"/>
      <c r="B104" s="14"/>
      <c r="C104" s="10"/>
      <c r="D104" s="10"/>
      <c r="E104" s="10"/>
      <c r="F104" s="10"/>
      <c r="G104" s="11"/>
      <c r="H104" s="11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6.5" customHeight="1" x14ac:dyDescent="0.3">
      <c r="A105" s="10"/>
      <c r="B105" s="14"/>
      <c r="C105" s="10"/>
      <c r="D105" s="10"/>
      <c r="E105" s="10"/>
      <c r="F105" s="10"/>
      <c r="G105" s="11"/>
      <c r="H105" s="11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6.5" customHeight="1" x14ac:dyDescent="0.3">
      <c r="A106" s="10"/>
      <c r="B106" s="14"/>
      <c r="C106" s="10"/>
      <c r="D106" s="10"/>
      <c r="E106" s="10"/>
      <c r="F106" s="10"/>
      <c r="G106" s="11"/>
      <c r="H106" s="11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6.5" customHeight="1" x14ac:dyDescent="0.3">
      <c r="A107" s="10"/>
      <c r="B107" s="14"/>
      <c r="C107" s="10"/>
      <c r="D107" s="10"/>
      <c r="E107" s="10"/>
      <c r="F107" s="10"/>
      <c r="G107" s="11"/>
      <c r="H107" s="11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6.5" customHeight="1" x14ac:dyDescent="0.3">
      <c r="A108" s="10"/>
      <c r="B108" s="14"/>
      <c r="C108" s="10"/>
      <c r="D108" s="10"/>
      <c r="E108" s="10"/>
      <c r="F108" s="10"/>
      <c r="G108" s="11"/>
      <c r="H108" s="11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6.5" customHeight="1" x14ac:dyDescent="0.3">
      <c r="A109" s="10"/>
      <c r="B109" s="14"/>
      <c r="C109" s="10"/>
      <c r="D109" s="10"/>
      <c r="E109" s="10"/>
      <c r="F109" s="10"/>
      <c r="G109" s="11"/>
      <c r="H109" s="11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6.5" customHeight="1" x14ac:dyDescent="0.3">
      <c r="A110" s="10"/>
      <c r="B110" s="14"/>
      <c r="C110" s="10"/>
      <c r="D110" s="10"/>
      <c r="E110" s="10"/>
      <c r="F110" s="10"/>
      <c r="G110" s="11"/>
      <c r="H110" s="11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6.5" customHeight="1" x14ac:dyDescent="0.3">
      <c r="A111" s="10"/>
      <c r="B111" s="14"/>
      <c r="C111" s="10"/>
      <c r="D111" s="10"/>
      <c r="E111" s="10"/>
      <c r="F111" s="10"/>
      <c r="G111" s="11"/>
      <c r="H111" s="11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6.5" customHeight="1" x14ac:dyDescent="0.3">
      <c r="A112" s="10"/>
      <c r="B112" s="14"/>
      <c r="C112" s="10"/>
      <c r="D112" s="10"/>
      <c r="E112" s="10"/>
      <c r="F112" s="10"/>
      <c r="G112" s="11"/>
      <c r="H112" s="11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6.5" customHeight="1" x14ac:dyDescent="0.3">
      <c r="A113" s="10"/>
      <c r="B113" s="14"/>
      <c r="C113" s="10"/>
      <c r="D113" s="10"/>
      <c r="E113" s="10"/>
      <c r="F113" s="10"/>
      <c r="G113" s="11"/>
      <c r="H113" s="11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6.5" customHeight="1" x14ac:dyDescent="0.3">
      <c r="A114" s="10"/>
      <c r="B114" s="14"/>
      <c r="C114" s="10"/>
      <c r="D114" s="10"/>
      <c r="E114" s="10"/>
      <c r="F114" s="10"/>
      <c r="G114" s="11"/>
      <c r="H114" s="11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6.5" customHeight="1" x14ac:dyDescent="0.3">
      <c r="A115" s="10"/>
      <c r="B115" s="14"/>
      <c r="C115" s="10"/>
      <c r="D115" s="10"/>
      <c r="E115" s="10"/>
      <c r="F115" s="10"/>
      <c r="G115" s="11"/>
      <c r="H115" s="11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6.5" customHeight="1" x14ac:dyDescent="0.3">
      <c r="A116" s="10"/>
      <c r="B116" s="14"/>
      <c r="C116" s="10"/>
      <c r="D116" s="10"/>
      <c r="E116" s="10"/>
      <c r="F116" s="10"/>
      <c r="G116" s="11"/>
      <c r="H116" s="11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6.5" customHeight="1" x14ac:dyDescent="0.3">
      <c r="A117" s="10"/>
      <c r="B117" s="14"/>
      <c r="C117" s="10"/>
      <c r="D117" s="10"/>
      <c r="E117" s="10"/>
      <c r="F117" s="10"/>
      <c r="G117" s="11"/>
      <c r="H117" s="11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6.5" customHeight="1" x14ac:dyDescent="0.3">
      <c r="A118" s="10"/>
      <c r="B118" s="14"/>
      <c r="C118" s="10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6.5" customHeight="1" x14ac:dyDescent="0.3">
      <c r="A119" s="10"/>
      <c r="B119" s="14"/>
      <c r="C119" s="10"/>
      <c r="D119" s="10"/>
      <c r="E119" s="10"/>
      <c r="F119" s="10"/>
      <c r="G119" s="11"/>
      <c r="H119" s="11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6.5" customHeight="1" x14ac:dyDescent="0.3">
      <c r="A120" s="10"/>
      <c r="B120" s="14"/>
      <c r="C120" s="10"/>
      <c r="D120" s="10"/>
      <c r="E120" s="10"/>
      <c r="F120" s="10"/>
      <c r="G120" s="11"/>
      <c r="H120" s="11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6.5" customHeight="1" x14ac:dyDescent="0.3">
      <c r="A121" s="10"/>
      <c r="B121" s="14"/>
      <c r="C121" s="10"/>
      <c r="D121" s="10"/>
      <c r="E121" s="10"/>
      <c r="F121" s="10"/>
      <c r="G121" s="11"/>
      <c r="H121" s="1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6.5" customHeight="1" x14ac:dyDescent="0.3">
      <c r="A122" s="10"/>
      <c r="B122" s="14"/>
      <c r="C122" s="10"/>
      <c r="D122" s="10"/>
      <c r="E122" s="10"/>
      <c r="F122" s="10"/>
      <c r="G122" s="11"/>
      <c r="H122" s="1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6.5" customHeight="1" x14ac:dyDescent="0.3">
      <c r="A123" s="10"/>
      <c r="B123" s="14"/>
      <c r="C123" s="10"/>
      <c r="D123" s="10"/>
      <c r="E123" s="10"/>
      <c r="F123" s="10"/>
      <c r="G123" s="11"/>
      <c r="H123" s="1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6.5" customHeight="1" x14ac:dyDescent="0.3">
      <c r="A124" s="10"/>
      <c r="B124" s="14"/>
      <c r="C124" s="10"/>
      <c r="D124" s="10"/>
      <c r="E124" s="10"/>
      <c r="F124" s="10"/>
      <c r="G124" s="11"/>
      <c r="H124" s="1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6.5" customHeight="1" x14ac:dyDescent="0.3">
      <c r="A125" s="10"/>
      <c r="B125" s="14"/>
      <c r="C125" s="10"/>
      <c r="D125" s="10"/>
      <c r="E125" s="10"/>
      <c r="F125" s="10"/>
      <c r="G125" s="11"/>
      <c r="H125" s="1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6.5" customHeight="1" x14ac:dyDescent="0.3">
      <c r="A126" s="10"/>
      <c r="B126" s="14"/>
      <c r="C126" s="10"/>
      <c r="D126" s="10"/>
      <c r="E126" s="10"/>
      <c r="F126" s="10"/>
      <c r="G126" s="11"/>
      <c r="H126" s="1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6.5" customHeight="1" x14ac:dyDescent="0.3">
      <c r="A127" s="10"/>
      <c r="B127" s="14"/>
      <c r="C127" s="10"/>
      <c r="D127" s="10"/>
      <c r="E127" s="10"/>
      <c r="F127" s="10"/>
      <c r="G127" s="11"/>
      <c r="H127" s="11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6.5" customHeight="1" x14ac:dyDescent="0.3">
      <c r="A128" s="10"/>
      <c r="B128" s="14"/>
      <c r="C128" s="10"/>
      <c r="D128" s="10"/>
      <c r="E128" s="10"/>
      <c r="F128" s="10"/>
      <c r="G128" s="11"/>
      <c r="H128" s="1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6.5" customHeight="1" x14ac:dyDescent="0.3">
      <c r="A129" s="10"/>
      <c r="B129" s="14"/>
      <c r="C129" s="10"/>
      <c r="D129" s="10"/>
      <c r="E129" s="10"/>
      <c r="F129" s="10"/>
      <c r="G129" s="11"/>
      <c r="H129" s="1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6.5" customHeight="1" x14ac:dyDescent="0.3">
      <c r="A130" s="10"/>
      <c r="B130" s="14"/>
      <c r="C130" s="10"/>
      <c r="D130" s="10"/>
      <c r="E130" s="10"/>
      <c r="F130" s="10"/>
      <c r="G130" s="11"/>
      <c r="H130" s="11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6.5" customHeight="1" x14ac:dyDescent="0.3">
      <c r="A131" s="10"/>
      <c r="B131" s="14"/>
      <c r="C131" s="10"/>
      <c r="D131" s="10"/>
      <c r="E131" s="10"/>
      <c r="F131" s="10"/>
      <c r="G131" s="11"/>
      <c r="H131" s="1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6.5" customHeight="1" x14ac:dyDescent="0.3">
      <c r="A132" s="10"/>
      <c r="B132" s="14"/>
      <c r="C132" s="10"/>
      <c r="D132" s="10"/>
      <c r="E132" s="10"/>
      <c r="F132" s="10"/>
      <c r="G132" s="11"/>
      <c r="H132" s="1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6.5" customHeight="1" x14ac:dyDescent="0.3">
      <c r="A133" s="10"/>
      <c r="B133" s="14"/>
      <c r="C133" s="10"/>
      <c r="D133" s="10"/>
      <c r="E133" s="10"/>
      <c r="F133" s="10"/>
      <c r="G133" s="11"/>
      <c r="H133" s="1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6.5" customHeight="1" x14ac:dyDescent="0.3">
      <c r="A134" s="10"/>
      <c r="B134" s="14"/>
      <c r="C134" s="10"/>
      <c r="D134" s="10"/>
      <c r="E134" s="10"/>
      <c r="F134" s="10"/>
      <c r="G134" s="11"/>
      <c r="H134" s="11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6.5" customHeight="1" x14ac:dyDescent="0.3">
      <c r="A135" s="10"/>
      <c r="B135" s="14"/>
      <c r="C135" s="10"/>
      <c r="D135" s="10"/>
      <c r="E135" s="10"/>
      <c r="F135" s="10"/>
      <c r="G135" s="11"/>
      <c r="H135" s="11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6.5" customHeight="1" x14ac:dyDescent="0.3">
      <c r="A136" s="10"/>
      <c r="B136" s="14"/>
      <c r="C136" s="10"/>
      <c r="D136" s="10"/>
      <c r="E136" s="10"/>
      <c r="F136" s="10"/>
      <c r="G136" s="11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6.5" customHeight="1" x14ac:dyDescent="0.3">
      <c r="A137" s="10"/>
      <c r="B137" s="14"/>
      <c r="C137" s="10"/>
      <c r="D137" s="10"/>
      <c r="E137" s="10"/>
      <c r="F137" s="10"/>
      <c r="G137" s="11"/>
      <c r="H137" s="1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6.5" customHeight="1" x14ac:dyDescent="0.3">
      <c r="A138" s="10"/>
      <c r="B138" s="14"/>
      <c r="C138" s="10"/>
      <c r="D138" s="10"/>
      <c r="E138" s="10"/>
      <c r="F138" s="10"/>
      <c r="G138" s="11"/>
      <c r="H138" s="11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6.5" customHeight="1" x14ac:dyDescent="0.3">
      <c r="A139" s="10"/>
      <c r="B139" s="14"/>
      <c r="C139" s="10"/>
      <c r="D139" s="10"/>
      <c r="E139" s="10"/>
      <c r="F139" s="10"/>
      <c r="G139" s="11"/>
      <c r="H139" s="11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6.5" customHeight="1" x14ac:dyDescent="0.3">
      <c r="A140" s="10"/>
      <c r="B140" s="14"/>
      <c r="C140" s="10"/>
      <c r="D140" s="10"/>
      <c r="E140" s="10"/>
      <c r="F140" s="10"/>
      <c r="G140" s="11"/>
      <c r="H140" s="1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6.5" customHeight="1" x14ac:dyDescent="0.3">
      <c r="A141" s="10"/>
      <c r="B141" s="14"/>
      <c r="C141" s="10"/>
      <c r="D141" s="10"/>
      <c r="E141" s="10"/>
      <c r="F141" s="10"/>
      <c r="G141" s="11"/>
      <c r="H141" s="11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6.5" customHeight="1" x14ac:dyDescent="0.3">
      <c r="A142" s="10"/>
      <c r="B142" s="14"/>
      <c r="C142" s="10"/>
      <c r="D142" s="10"/>
      <c r="E142" s="10"/>
      <c r="F142" s="10"/>
      <c r="G142" s="11"/>
      <c r="H142" s="11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6.5" customHeight="1" x14ac:dyDescent="0.3">
      <c r="A143" s="10"/>
      <c r="B143" s="14"/>
      <c r="C143" s="10"/>
      <c r="D143" s="10"/>
      <c r="E143" s="10"/>
      <c r="F143" s="10"/>
      <c r="G143" s="11"/>
      <c r="H143" s="11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6.5" customHeight="1" x14ac:dyDescent="0.3">
      <c r="A144" s="10"/>
      <c r="B144" s="14"/>
      <c r="C144" s="10"/>
      <c r="D144" s="10"/>
      <c r="E144" s="10"/>
      <c r="F144" s="10"/>
      <c r="G144" s="11"/>
      <c r="H144" s="11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6.5" customHeight="1" x14ac:dyDescent="0.3">
      <c r="A145" s="10"/>
      <c r="B145" s="14"/>
      <c r="C145" s="10"/>
      <c r="D145" s="10"/>
      <c r="E145" s="10"/>
      <c r="F145" s="10"/>
      <c r="G145" s="11"/>
      <c r="H145" s="11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6.5" customHeight="1" x14ac:dyDescent="0.3">
      <c r="A146" s="10"/>
      <c r="B146" s="14"/>
      <c r="C146" s="10"/>
      <c r="D146" s="10"/>
      <c r="E146" s="10"/>
      <c r="F146" s="10"/>
      <c r="G146" s="11"/>
      <c r="H146" s="11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6.5" customHeight="1" x14ac:dyDescent="0.3">
      <c r="A147" s="10"/>
      <c r="B147" s="14"/>
      <c r="C147" s="10"/>
      <c r="D147" s="10"/>
      <c r="E147" s="10"/>
      <c r="F147" s="10"/>
      <c r="G147" s="11"/>
      <c r="H147" s="11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6.5" customHeight="1" x14ac:dyDescent="0.3">
      <c r="A148" s="10"/>
      <c r="B148" s="14"/>
      <c r="C148" s="10"/>
      <c r="D148" s="10"/>
      <c r="E148" s="10"/>
      <c r="F148" s="10"/>
      <c r="G148" s="11"/>
      <c r="H148" s="11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6.5" customHeight="1" x14ac:dyDescent="0.3">
      <c r="A149" s="10"/>
      <c r="B149" s="14"/>
      <c r="C149" s="10"/>
      <c r="D149" s="10"/>
      <c r="E149" s="10"/>
      <c r="F149" s="10"/>
      <c r="G149" s="11"/>
      <c r="H149" s="11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6.5" customHeight="1" x14ac:dyDescent="0.3">
      <c r="A150" s="10"/>
      <c r="B150" s="14"/>
      <c r="C150" s="10"/>
      <c r="D150" s="10"/>
      <c r="E150" s="10"/>
      <c r="F150" s="10"/>
      <c r="G150" s="11"/>
      <c r="H150" s="11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6.5" customHeight="1" x14ac:dyDescent="0.3">
      <c r="A151" s="10"/>
      <c r="B151" s="14"/>
      <c r="C151" s="10"/>
      <c r="D151" s="10"/>
      <c r="E151" s="10"/>
      <c r="F151" s="10"/>
      <c r="G151" s="11"/>
      <c r="H151" s="11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6.5" customHeight="1" x14ac:dyDescent="0.3">
      <c r="A152" s="10"/>
      <c r="B152" s="14"/>
      <c r="C152" s="10"/>
      <c r="D152" s="10"/>
      <c r="E152" s="10"/>
      <c r="F152" s="10"/>
      <c r="G152" s="11"/>
      <c r="H152" s="11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6.5" customHeight="1" x14ac:dyDescent="0.3">
      <c r="A153" s="10"/>
      <c r="B153" s="14"/>
      <c r="C153" s="10"/>
      <c r="D153" s="10"/>
      <c r="E153" s="10"/>
      <c r="F153" s="10"/>
      <c r="G153" s="11"/>
      <c r="H153" s="11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6.5" customHeight="1" x14ac:dyDescent="0.3">
      <c r="A154" s="10"/>
      <c r="B154" s="14"/>
      <c r="C154" s="10"/>
      <c r="D154" s="10"/>
      <c r="E154" s="10"/>
      <c r="F154" s="10"/>
      <c r="G154" s="11"/>
      <c r="H154" s="11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6.5" customHeight="1" x14ac:dyDescent="0.3">
      <c r="A155" s="10"/>
      <c r="B155" s="14"/>
      <c r="C155" s="10"/>
      <c r="D155" s="10"/>
      <c r="E155" s="10"/>
      <c r="F155" s="10"/>
      <c r="G155" s="11"/>
      <c r="H155" s="11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6.5" customHeight="1" x14ac:dyDescent="0.3">
      <c r="A156" s="10"/>
      <c r="B156" s="14"/>
      <c r="C156" s="10"/>
      <c r="D156" s="10"/>
      <c r="E156" s="10"/>
      <c r="F156" s="10"/>
      <c r="G156" s="11"/>
      <c r="H156" s="11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6.5" customHeight="1" x14ac:dyDescent="0.3">
      <c r="A157" s="10"/>
      <c r="B157" s="14"/>
      <c r="C157" s="10"/>
      <c r="D157" s="10"/>
      <c r="E157" s="10"/>
      <c r="F157" s="10"/>
      <c r="G157" s="11"/>
      <c r="H157" s="11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6.5" customHeight="1" x14ac:dyDescent="0.3">
      <c r="A158" s="10"/>
      <c r="B158" s="14"/>
      <c r="C158" s="10"/>
      <c r="D158" s="10"/>
      <c r="E158" s="10"/>
      <c r="F158" s="10"/>
      <c r="G158" s="11"/>
      <c r="H158" s="11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6.5" customHeight="1" x14ac:dyDescent="0.3">
      <c r="A159" s="10"/>
      <c r="B159" s="14"/>
      <c r="C159" s="10"/>
      <c r="D159" s="10"/>
      <c r="E159" s="10"/>
      <c r="F159" s="10"/>
      <c r="G159" s="11"/>
      <c r="H159" s="11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6.5" customHeight="1" x14ac:dyDescent="0.3">
      <c r="A160" s="10"/>
      <c r="B160" s="14"/>
      <c r="C160" s="10"/>
      <c r="D160" s="10"/>
      <c r="E160" s="10"/>
      <c r="F160" s="10"/>
      <c r="G160" s="11"/>
      <c r="H160" s="11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6.5" customHeight="1" x14ac:dyDescent="0.3">
      <c r="A161" s="10"/>
      <c r="B161" s="14"/>
      <c r="C161" s="10"/>
      <c r="D161" s="10"/>
      <c r="E161" s="10"/>
      <c r="F161" s="10"/>
      <c r="G161" s="11"/>
      <c r="H161" s="11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6.5" customHeight="1" x14ac:dyDescent="0.3">
      <c r="A162" s="10"/>
      <c r="B162" s="14"/>
      <c r="C162" s="10"/>
      <c r="D162" s="10"/>
      <c r="E162" s="10"/>
      <c r="F162" s="10"/>
      <c r="G162" s="11"/>
      <c r="H162" s="11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6.5" customHeight="1" x14ac:dyDescent="0.3">
      <c r="A163" s="10"/>
      <c r="B163" s="14"/>
      <c r="C163" s="10"/>
      <c r="D163" s="10"/>
      <c r="E163" s="10"/>
      <c r="F163" s="10"/>
      <c r="G163" s="11"/>
      <c r="H163" s="11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6.5" customHeight="1" x14ac:dyDescent="0.3">
      <c r="A164" s="10"/>
      <c r="B164" s="14"/>
      <c r="C164" s="10"/>
      <c r="D164" s="10"/>
      <c r="E164" s="10"/>
      <c r="F164" s="10"/>
      <c r="G164" s="11"/>
      <c r="H164" s="11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6.5" customHeight="1" x14ac:dyDescent="0.3">
      <c r="A165" s="10"/>
      <c r="B165" s="14"/>
      <c r="C165" s="10"/>
      <c r="D165" s="10"/>
      <c r="E165" s="10"/>
      <c r="F165" s="10"/>
      <c r="G165" s="11"/>
      <c r="H165" s="11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6.5" customHeight="1" x14ac:dyDescent="0.3">
      <c r="A166" s="10"/>
      <c r="B166" s="14"/>
      <c r="C166" s="10"/>
      <c r="D166" s="10"/>
      <c r="E166" s="10"/>
      <c r="F166" s="10"/>
      <c r="G166" s="11"/>
      <c r="H166" s="11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6.5" customHeight="1" x14ac:dyDescent="0.3">
      <c r="A167" s="10"/>
      <c r="B167" s="14"/>
      <c r="C167" s="10"/>
      <c r="D167" s="10"/>
      <c r="E167" s="10"/>
      <c r="F167" s="10"/>
      <c r="G167" s="11"/>
      <c r="H167" s="11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6.5" customHeight="1" x14ac:dyDescent="0.3">
      <c r="A168" s="10"/>
      <c r="B168" s="14"/>
      <c r="C168" s="10"/>
      <c r="D168" s="10"/>
      <c r="E168" s="10"/>
      <c r="F168" s="10"/>
      <c r="G168" s="11"/>
      <c r="H168" s="11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6.5" customHeight="1" x14ac:dyDescent="0.3">
      <c r="A169" s="10"/>
      <c r="B169" s="14"/>
      <c r="C169" s="10"/>
      <c r="D169" s="10"/>
      <c r="E169" s="10"/>
      <c r="F169" s="10"/>
      <c r="G169" s="11"/>
      <c r="H169" s="11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6.5" customHeight="1" x14ac:dyDescent="0.3">
      <c r="A170" s="10"/>
      <c r="B170" s="14"/>
      <c r="C170" s="10"/>
      <c r="D170" s="10"/>
      <c r="E170" s="10"/>
      <c r="F170" s="10"/>
      <c r="G170" s="11"/>
      <c r="H170" s="11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6.5" customHeight="1" x14ac:dyDescent="0.3">
      <c r="A171" s="10"/>
      <c r="B171" s="14"/>
      <c r="C171" s="10"/>
      <c r="D171" s="10"/>
      <c r="E171" s="10"/>
      <c r="F171" s="10"/>
      <c r="G171" s="11"/>
      <c r="H171" s="11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6.5" customHeight="1" x14ac:dyDescent="0.3">
      <c r="A172" s="10"/>
      <c r="B172" s="14"/>
      <c r="C172" s="10"/>
      <c r="D172" s="10"/>
      <c r="E172" s="10"/>
      <c r="F172" s="10"/>
      <c r="G172" s="11"/>
      <c r="H172" s="11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6.5" customHeight="1" x14ac:dyDescent="0.3">
      <c r="A173" s="10"/>
      <c r="B173" s="14"/>
      <c r="C173" s="10"/>
      <c r="D173" s="10"/>
      <c r="E173" s="10"/>
      <c r="F173" s="10"/>
      <c r="G173" s="11"/>
      <c r="H173" s="11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6.5" customHeight="1" x14ac:dyDescent="0.3">
      <c r="A174" s="10"/>
      <c r="B174" s="14"/>
      <c r="C174" s="10"/>
      <c r="D174" s="10"/>
      <c r="E174" s="10"/>
      <c r="F174" s="10"/>
      <c r="G174" s="11"/>
      <c r="H174" s="11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6.5" customHeight="1" x14ac:dyDescent="0.3">
      <c r="A175" s="10"/>
      <c r="B175" s="14"/>
      <c r="C175" s="10"/>
      <c r="D175" s="10"/>
      <c r="E175" s="10"/>
      <c r="F175" s="10"/>
      <c r="G175" s="11"/>
      <c r="H175" s="11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6.5" customHeight="1" x14ac:dyDescent="0.3">
      <c r="A176" s="10"/>
      <c r="B176" s="14"/>
      <c r="C176" s="10"/>
      <c r="D176" s="10"/>
      <c r="E176" s="10"/>
      <c r="F176" s="10"/>
      <c r="G176" s="11"/>
      <c r="H176" s="11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6.5" customHeight="1" x14ac:dyDescent="0.3">
      <c r="A177" s="10"/>
      <c r="B177" s="14"/>
      <c r="C177" s="10"/>
      <c r="D177" s="10"/>
      <c r="E177" s="10"/>
      <c r="F177" s="10"/>
      <c r="G177" s="11"/>
      <c r="H177" s="11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6.5" customHeight="1" x14ac:dyDescent="0.3">
      <c r="A178" s="10"/>
      <c r="B178" s="14"/>
      <c r="C178" s="10"/>
      <c r="D178" s="10"/>
      <c r="E178" s="10"/>
      <c r="F178" s="10"/>
      <c r="G178" s="11"/>
      <c r="H178" s="11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6.5" customHeight="1" x14ac:dyDescent="0.3">
      <c r="A179" s="10"/>
      <c r="B179" s="14"/>
      <c r="C179" s="10"/>
      <c r="D179" s="10"/>
      <c r="E179" s="10"/>
      <c r="F179" s="10"/>
      <c r="G179" s="11"/>
      <c r="H179" s="11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6.5" customHeight="1" x14ac:dyDescent="0.3">
      <c r="A180" s="10"/>
      <c r="B180" s="14"/>
      <c r="C180" s="10"/>
      <c r="D180" s="10"/>
      <c r="E180" s="10"/>
      <c r="F180" s="10"/>
      <c r="G180" s="11"/>
      <c r="H180" s="11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6.5" customHeight="1" x14ac:dyDescent="0.3">
      <c r="A181" s="10"/>
      <c r="B181" s="14"/>
      <c r="C181" s="10"/>
      <c r="D181" s="10"/>
      <c r="E181" s="10"/>
      <c r="F181" s="10"/>
      <c r="G181" s="11"/>
      <c r="H181" s="11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6.5" customHeight="1" x14ac:dyDescent="0.3">
      <c r="A182" s="10"/>
      <c r="B182" s="14"/>
      <c r="C182" s="10"/>
      <c r="D182" s="10"/>
      <c r="E182" s="10"/>
      <c r="F182" s="10"/>
      <c r="G182" s="11"/>
      <c r="H182" s="11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6.5" customHeight="1" x14ac:dyDescent="0.3">
      <c r="A183" s="10"/>
      <c r="B183" s="14"/>
      <c r="C183" s="10"/>
      <c r="D183" s="10"/>
      <c r="E183" s="10"/>
      <c r="F183" s="10"/>
      <c r="G183" s="11"/>
      <c r="H183" s="11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6.5" customHeight="1" x14ac:dyDescent="0.3">
      <c r="A184" s="10"/>
      <c r="B184" s="14"/>
      <c r="C184" s="10"/>
      <c r="D184" s="10"/>
      <c r="E184" s="10"/>
      <c r="F184" s="10"/>
      <c r="G184" s="11"/>
      <c r="H184" s="11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6.5" customHeight="1" x14ac:dyDescent="0.3">
      <c r="A185" s="10"/>
      <c r="B185" s="14"/>
      <c r="C185" s="10"/>
      <c r="D185" s="10"/>
      <c r="E185" s="10"/>
      <c r="F185" s="10"/>
      <c r="G185" s="11"/>
      <c r="H185" s="11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6.5" customHeight="1" x14ac:dyDescent="0.3">
      <c r="A186" s="10"/>
      <c r="B186" s="14"/>
      <c r="C186" s="10"/>
      <c r="D186" s="10"/>
      <c r="E186" s="10"/>
      <c r="F186" s="10"/>
      <c r="G186" s="11"/>
      <c r="H186" s="11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6.5" customHeight="1" x14ac:dyDescent="0.3">
      <c r="A187" s="10"/>
      <c r="B187" s="14"/>
      <c r="C187" s="10"/>
      <c r="D187" s="10"/>
      <c r="E187" s="10"/>
      <c r="F187" s="10"/>
      <c r="G187" s="11"/>
      <c r="H187" s="11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6.5" customHeight="1" x14ac:dyDescent="0.3">
      <c r="A188" s="10"/>
      <c r="B188" s="14"/>
      <c r="C188" s="10"/>
      <c r="D188" s="10"/>
      <c r="E188" s="10"/>
      <c r="F188" s="10"/>
      <c r="G188" s="11"/>
      <c r="H188" s="11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6.5" customHeight="1" x14ac:dyDescent="0.3">
      <c r="A189" s="10"/>
      <c r="B189" s="14"/>
      <c r="C189" s="10"/>
      <c r="D189" s="10"/>
      <c r="E189" s="10"/>
      <c r="F189" s="10"/>
      <c r="G189" s="11"/>
      <c r="H189" s="11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6.5" customHeight="1" x14ac:dyDescent="0.3">
      <c r="A190" s="10"/>
      <c r="B190" s="14"/>
      <c r="C190" s="10"/>
      <c r="D190" s="10"/>
      <c r="E190" s="10"/>
      <c r="F190" s="10"/>
      <c r="G190" s="11"/>
      <c r="H190" s="11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6.5" customHeight="1" x14ac:dyDescent="0.3">
      <c r="A191" s="10"/>
      <c r="B191" s="14"/>
      <c r="C191" s="10"/>
      <c r="D191" s="10"/>
      <c r="E191" s="10"/>
      <c r="F191" s="10"/>
      <c r="G191" s="11"/>
      <c r="H191" s="11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6.5" customHeight="1" x14ac:dyDescent="0.3">
      <c r="A192" s="10"/>
      <c r="B192" s="14"/>
      <c r="C192" s="10"/>
      <c r="D192" s="10"/>
      <c r="E192" s="10"/>
      <c r="F192" s="10"/>
      <c r="G192" s="11"/>
      <c r="H192" s="11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6.5" customHeight="1" x14ac:dyDescent="0.3">
      <c r="A193" s="10"/>
      <c r="B193" s="14"/>
      <c r="C193" s="10"/>
      <c r="D193" s="10"/>
      <c r="E193" s="10"/>
      <c r="F193" s="10"/>
      <c r="G193" s="11"/>
      <c r="H193" s="11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6.5" customHeight="1" x14ac:dyDescent="0.3">
      <c r="A194" s="10"/>
      <c r="B194" s="14"/>
      <c r="C194" s="10"/>
      <c r="D194" s="10"/>
      <c r="E194" s="10"/>
      <c r="F194" s="10"/>
      <c r="G194" s="11"/>
      <c r="H194" s="11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6.5" customHeight="1" x14ac:dyDescent="0.3">
      <c r="A195" s="10"/>
      <c r="B195" s="14"/>
      <c r="C195" s="10"/>
      <c r="D195" s="10"/>
      <c r="E195" s="10"/>
      <c r="F195" s="10"/>
      <c r="G195" s="11"/>
      <c r="H195" s="11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6.5" customHeight="1" x14ac:dyDescent="0.3">
      <c r="A196" s="10"/>
      <c r="B196" s="14"/>
      <c r="C196" s="10"/>
      <c r="D196" s="10"/>
      <c r="E196" s="10"/>
      <c r="F196" s="10"/>
      <c r="G196" s="11"/>
      <c r="H196" s="11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6.5" customHeight="1" x14ac:dyDescent="0.3">
      <c r="A197" s="10"/>
      <c r="B197" s="14"/>
      <c r="C197" s="10"/>
      <c r="D197" s="10"/>
      <c r="E197" s="10"/>
      <c r="F197" s="10"/>
      <c r="G197" s="11"/>
      <c r="H197" s="11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6.5" customHeight="1" x14ac:dyDescent="0.3">
      <c r="A198" s="10"/>
      <c r="B198" s="14"/>
      <c r="C198" s="10"/>
      <c r="D198" s="10"/>
      <c r="E198" s="10"/>
      <c r="F198" s="10"/>
      <c r="G198" s="11"/>
      <c r="H198" s="11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6.5" customHeight="1" x14ac:dyDescent="0.3">
      <c r="A199" s="10"/>
      <c r="B199" s="14"/>
      <c r="C199" s="10"/>
      <c r="D199" s="10"/>
      <c r="E199" s="10"/>
      <c r="F199" s="10"/>
      <c r="G199" s="11"/>
      <c r="H199" s="11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6.5" customHeight="1" x14ac:dyDescent="0.3">
      <c r="A200" s="10"/>
      <c r="B200" s="14"/>
      <c r="C200" s="10"/>
      <c r="D200" s="10"/>
      <c r="E200" s="10"/>
      <c r="F200" s="10"/>
      <c r="G200" s="11"/>
      <c r="H200" s="11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6.5" customHeight="1" x14ac:dyDescent="0.3">
      <c r="A201" s="10"/>
      <c r="B201" s="14"/>
      <c r="C201" s="10"/>
      <c r="D201" s="10"/>
      <c r="E201" s="10"/>
      <c r="F201" s="10"/>
      <c r="G201" s="11"/>
      <c r="H201" s="11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6.5" customHeight="1" x14ac:dyDescent="0.3">
      <c r="A202" s="10"/>
      <c r="B202" s="14"/>
      <c r="C202" s="10"/>
      <c r="D202" s="10"/>
      <c r="E202" s="10"/>
      <c r="F202" s="10"/>
      <c r="G202" s="11"/>
      <c r="H202" s="11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6.5" customHeight="1" x14ac:dyDescent="0.3">
      <c r="A203" s="10"/>
      <c r="B203" s="14"/>
      <c r="C203" s="10"/>
      <c r="D203" s="10"/>
      <c r="E203" s="10"/>
      <c r="F203" s="10"/>
      <c r="G203" s="11"/>
      <c r="H203" s="11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6.5" customHeight="1" x14ac:dyDescent="0.3">
      <c r="A204" s="10"/>
      <c r="B204" s="14"/>
      <c r="C204" s="10"/>
      <c r="D204" s="10"/>
      <c r="E204" s="10"/>
      <c r="F204" s="10"/>
      <c r="G204" s="11"/>
      <c r="H204" s="11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6.5" customHeight="1" x14ac:dyDescent="0.3">
      <c r="A205" s="10"/>
      <c r="B205" s="14"/>
      <c r="C205" s="10"/>
      <c r="D205" s="10"/>
      <c r="E205" s="10"/>
      <c r="F205" s="10"/>
      <c r="G205" s="11"/>
      <c r="H205" s="11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6.5" customHeight="1" x14ac:dyDescent="0.3">
      <c r="A206" s="10"/>
      <c r="B206" s="14"/>
      <c r="C206" s="10"/>
      <c r="D206" s="10"/>
      <c r="E206" s="10"/>
      <c r="F206" s="10"/>
      <c r="G206" s="11"/>
      <c r="H206" s="11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6.5" customHeight="1" x14ac:dyDescent="0.3">
      <c r="A207" s="10"/>
      <c r="B207" s="14"/>
      <c r="C207" s="10"/>
      <c r="D207" s="10"/>
      <c r="E207" s="10"/>
      <c r="F207" s="10"/>
      <c r="G207" s="11"/>
      <c r="H207" s="11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6.5" customHeight="1" x14ac:dyDescent="0.3">
      <c r="A208" s="10"/>
      <c r="B208" s="14"/>
      <c r="C208" s="10"/>
      <c r="D208" s="10"/>
      <c r="E208" s="10"/>
      <c r="F208" s="10"/>
      <c r="G208" s="11"/>
      <c r="H208" s="11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6.5" customHeight="1" x14ac:dyDescent="0.3">
      <c r="A209" s="10"/>
      <c r="B209" s="14"/>
      <c r="C209" s="10"/>
      <c r="D209" s="10"/>
      <c r="E209" s="10"/>
      <c r="F209" s="10"/>
      <c r="G209" s="11"/>
      <c r="H209" s="11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6.5" customHeight="1" x14ac:dyDescent="0.3">
      <c r="A210" s="10"/>
      <c r="B210" s="14"/>
      <c r="C210" s="10"/>
      <c r="D210" s="10"/>
      <c r="E210" s="10"/>
      <c r="F210" s="10"/>
      <c r="G210" s="11"/>
      <c r="H210" s="11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6.5" customHeight="1" x14ac:dyDescent="0.3">
      <c r="A211" s="10"/>
      <c r="B211" s="14"/>
      <c r="C211" s="10"/>
      <c r="D211" s="10"/>
      <c r="E211" s="10"/>
      <c r="F211" s="10"/>
      <c r="G211" s="11"/>
      <c r="H211" s="11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6.5" customHeight="1" x14ac:dyDescent="0.3">
      <c r="A212" s="10"/>
      <c r="B212" s="14"/>
      <c r="C212" s="10"/>
      <c r="D212" s="10"/>
      <c r="E212" s="10"/>
      <c r="F212" s="10"/>
      <c r="G212" s="11"/>
      <c r="H212" s="11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6.5" customHeight="1" x14ac:dyDescent="0.3">
      <c r="A213" s="10"/>
      <c r="B213" s="14"/>
      <c r="C213" s="10"/>
      <c r="D213" s="10"/>
      <c r="E213" s="10"/>
      <c r="F213" s="10"/>
      <c r="G213" s="11"/>
      <c r="H213" s="11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6.5" customHeight="1" x14ac:dyDescent="0.3">
      <c r="A214" s="10"/>
      <c r="B214" s="14"/>
      <c r="C214" s="10"/>
      <c r="D214" s="10"/>
      <c r="E214" s="10"/>
      <c r="F214" s="10"/>
      <c r="G214" s="11"/>
      <c r="H214" s="11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6.5" customHeight="1" x14ac:dyDescent="0.3">
      <c r="A215" s="10"/>
      <c r="B215" s="14"/>
      <c r="C215" s="10"/>
      <c r="D215" s="10"/>
      <c r="E215" s="10"/>
      <c r="F215" s="10"/>
      <c r="G215" s="11"/>
      <c r="H215" s="11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6.5" customHeight="1" x14ac:dyDescent="0.3">
      <c r="A216" s="10"/>
      <c r="B216" s="14"/>
      <c r="C216" s="10"/>
      <c r="D216" s="10"/>
      <c r="E216" s="10"/>
      <c r="F216" s="10"/>
      <c r="G216" s="11"/>
      <c r="H216" s="11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6.5" customHeight="1" x14ac:dyDescent="0.3">
      <c r="A217" s="10"/>
      <c r="B217" s="14"/>
      <c r="C217" s="10"/>
      <c r="D217" s="10"/>
      <c r="E217" s="10"/>
      <c r="F217" s="10"/>
      <c r="G217" s="11"/>
      <c r="H217" s="11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6.5" customHeight="1" x14ac:dyDescent="0.3">
      <c r="A218" s="10"/>
      <c r="B218" s="14"/>
      <c r="C218" s="10"/>
      <c r="D218" s="10"/>
      <c r="E218" s="10"/>
      <c r="F218" s="10"/>
      <c r="G218" s="11"/>
      <c r="H218" s="11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6.5" customHeight="1" x14ac:dyDescent="0.3">
      <c r="A219" s="10"/>
      <c r="B219" s="14"/>
      <c r="C219" s="10"/>
      <c r="D219" s="10"/>
      <c r="E219" s="10"/>
      <c r="F219" s="10"/>
      <c r="G219" s="11"/>
      <c r="H219" s="11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6.5" customHeight="1" x14ac:dyDescent="0.3">
      <c r="A220" s="10"/>
      <c r="B220" s="14"/>
      <c r="C220" s="10"/>
      <c r="D220" s="10"/>
      <c r="E220" s="10"/>
      <c r="F220" s="10"/>
      <c r="G220" s="11"/>
      <c r="H220" s="11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6.5" customHeight="1" x14ac:dyDescent="0.3">
      <c r="A221" s="10"/>
      <c r="B221" s="14"/>
      <c r="C221" s="10"/>
      <c r="D221" s="10"/>
      <c r="E221" s="10"/>
      <c r="F221" s="10"/>
      <c r="G221" s="11"/>
      <c r="H221" s="11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6.5" customHeight="1" x14ac:dyDescent="0.3">
      <c r="A222" s="10"/>
      <c r="B222" s="14"/>
      <c r="C222" s="10"/>
      <c r="D222" s="10"/>
      <c r="E222" s="10"/>
      <c r="F222" s="10"/>
      <c r="G222" s="11"/>
      <c r="H222" s="11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6.5" customHeight="1" x14ac:dyDescent="0.3">
      <c r="A223" s="10"/>
      <c r="B223" s="14"/>
      <c r="C223" s="10"/>
      <c r="D223" s="10"/>
      <c r="E223" s="10"/>
      <c r="F223" s="10"/>
      <c r="G223" s="11"/>
      <c r="H223" s="11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6.5" customHeight="1" x14ac:dyDescent="0.3">
      <c r="A224" s="10"/>
      <c r="B224" s="14"/>
      <c r="C224" s="10"/>
      <c r="D224" s="10"/>
      <c r="E224" s="10"/>
      <c r="F224" s="10"/>
      <c r="G224" s="11"/>
      <c r="H224" s="11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6.5" customHeight="1" x14ac:dyDescent="0.3">
      <c r="A225" s="10"/>
      <c r="B225" s="14"/>
      <c r="C225" s="10"/>
      <c r="D225" s="10"/>
      <c r="E225" s="10"/>
      <c r="F225" s="10"/>
      <c r="G225" s="11"/>
      <c r="H225" s="11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6.5" customHeight="1" x14ac:dyDescent="0.3">
      <c r="A226" s="10"/>
      <c r="B226" s="14"/>
      <c r="C226" s="10"/>
      <c r="D226" s="10"/>
      <c r="E226" s="10"/>
      <c r="F226" s="10"/>
      <c r="G226" s="11"/>
      <c r="H226" s="11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6.5" customHeight="1" x14ac:dyDescent="0.3">
      <c r="A227" s="10"/>
      <c r="B227" s="14"/>
      <c r="C227" s="10"/>
      <c r="D227" s="10"/>
      <c r="E227" s="10"/>
      <c r="F227" s="10"/>
      <c r="G227" s="11"/>
      <c r="H227" s="11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6.5" customHeight="1" x14ac:dyDescent="0.3">
      <c r="A228" s="10"/>
      <c r="B228" s="14"/>
      <c r="C228" s="10"/>
      <c r="D228" s="10"/>
      <c r="E228" s="10"/>
      <c r="F228" s="10"/>
      <c r="G228" s="11"/>
      <c r="H228" s="11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6.5" customHeight="1" x14ac:dyDescent="0.3">
      <c r="A229" s="10"/>
      <c r="B229" s="14"/>
      <c r="C229" s="10"/>
      <c r="D229" s="10"/>
      <c r="E229" s="10"/>
      <c r="F229" s="10"/>
      <c r="G229" s="11"/>
      <c r="H229" s="11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6.5" customHeight="1" x14ac:dyDescent="0.3">
      <c r="A230" s="10"/>
      <c r="B230" s="14"/>
      <c r="C230" s="10"/>
      <c r="D230" s="10"/>
      <c r="E230" s="10"/>
      <c r="F230" s="10"/>
      <c r="G230" s="11"/>
      <c r="H230" s="11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6.5" customHeight="1" x14ac:dyDescent="0.3">
      <c r="A231" s="10"/>
      <c r="B231" s="14"/>
      <c r="C231" s="10"/>
      <c r="D231" s="10"/>
      <c r="E231" s="10"/>
      <c r="F231" s="10"/>
      <c r="G231" s="11"/>
      <c r="H231" s="11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6.5" customHeight="1" x14ac:dyDescent="0.3">
      <c r="A232" s="10"/>
      <c r="B232" s="14"/>
      <c r="C232" s="10"/>
      <c r="D232" s="10"/>
      <c r="E232" s="10"/>
      <c r="F232" s="10"/>
      <c r="G232" s="11"/>
      <c r="H232" s="11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6.5" customHeight="1" x14ac:dyDescent="0.3">
      <c r="A233" s="10"/>
      <c r="B233" s="14"/>
      <c r="C233" s="10"/>
      <c r="D233" s="10"/>
      <c r="E233" s="10"/>
      <c r="F233" s="10"/>
      <c r="G233" s="11"/>
      <c r="H233" s="11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6.5" customHeight="1" x14ac:dyDescent="0.3">
      <c r="A234" s="10"/>
      <c r="B234" s="14"/>
      <c r="C234" s="10"/>
      <c r="D234" s="10"/>
      <c r="E234" s="10"/>
      <c r="F234" s="10"/>
      <c r="G234" s="11"/>
      <c r="H234" s="11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6.5" customHeight="1" x14ac:dyDescent="0.3">
      <c r="A235" s="10"/>
      <c r="B235" s="14"/>
      <c r="C235" s="10"/>
      <c r="D235" s="10"/>
      <c r="E235" s="10"/>
      <c r="F235" s="10"/>
      <c r="G235" s="11"/>
      <c r="H235" s="11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6.5" customHeight="1" x14ac:dyDescent="0.3">
      <c r="A236" s="10"/>
      <c r="B236" s="14"/>
      <c r="C236" s="10"/>
      <c r="D236" s="10"/>
      <c r="E236" s="10"/>
      <c r="F236" s="10"/>
      <c r="G236" s="11"/>
      <c r="H236" s="11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6.5" customHeight="1" x14ac:dyDescent="0.3">
      <c r="A237" s="10"/>
      <c r="B237" s="14"/>
      <c r="C237" s="10"/>
      <c r="D237" s="10"/>
      <c r="E237" s="10"/>
      <c r="F237" s="10"/>
      <c r="G237" s="11"/>
      <c r="H237" s="11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6.5" customHeight="1" x14ac:dyDescent="0.3">
      <c r="A238" s="10"/>
      <c r="B238" s="14"/>
      <c r="C238" s="10"/>
      <c r="D238" s="10"/>
      <c r="E238" s="10"/>
      <c r="F238" s="10"/>
      <c r="G238" s="11"/>
      <c r="H238" s="11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6.5" customHeight="1" x14ac:dyDescent="0.3">
      <c r="A239" s="10"/>
      <c r="B239" s="14"/>
      <c r="C239" s="10"/>
      <c r="D239" s="10"/>
      <c r="E239" s="10"/>
      <c r="F239" s="10"/>
      <c r="G239" s="11"/>
      <c r="H239" s="11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6.5" customHeight="1" x14ac:dyDescent="0.3">
      <c r="A240" s="10"/>
      <c r="B240" s="14"/>
      <c r="C240" s="10"/>
      <c r="D240" s="10"/>
      <c r="E240" s="10"/>
      <c r="F240" s="10"/>
      <c r="G240" s="11"/>
      <c r="H240" s="11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6.5" customHeight="1" x14ac:dyDescent="0.3">
      <c r="A241" s="10"/>
      <c r="B241" s="14"/>
      <c r="C241" s="10"/>
      <c r="D241" s="10"/>
      <c r="E241" s="10"/>
      <c r="F241" s="10"/>
      <c r="G241" s="11"/>
      <c r="H241" s="11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6.5" customHeight="1" x14ac:dyDescent="0.3">
      <c r="A242" s="10"/>
      <c r="B242" s="14"/>
      <c r="C242" s="10"/>
      <c r="D242" s="10"/>
      <c r="E242" s="10"/>
      <c r="F242" s="10"/>
      <c r="G242" s="11"/>
      <c r="H242" s="11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6.5" customHeight="1" x14ac:dyDescent="0.3">
      <c r="A243" s="10"/>
      <c r="B243" s="14"/>
      <c r="C243" s="10"/>
      <c r="D243" s="10"/>
      <c r="E243" s="10"/>
      <c r="F243" s="10"/>
      <c r="G243" s="11"/>
      <c r="H243" s="11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6.5" customHeight="1" x14ac:dyDescent="0.3">
      <c r="A244" s="10"/>
      <c r="B244" s="14"/>
      <c r="C244" s="10"/>
      <c r="D244" s="10"/>
      <c r="E244" s="10"/>
      <c r="F244" s="10"/>
      <c r="G244" s="11"/>
      <c r="H244" s="11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6.5" customHeight="1" x14ac:dyDescent="0.3">
      <c r="A245" s="10"/>
      <c r="B245" s="14"/>
      <c r="C245" s="10"/>
      <c r="D245" s="10"/>
      <c r="E245" s="10"/>
      <c r="F245" s="10"/>
      <c r="G245" s="11"/>
      <c r="H245" s="11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6.5" customHeight="1" x14ac:dyDescent="0.3">
      <c r="A246" s="10"/>
      <c r="B246" s="14"/>
      <c r="C246" s="10"/>
      <c r="D246" s="10"/>
      <c r="E246" s="10"/>
      <c r="F246" s="10"/>
      <c r="G246" s="11"/>
      <c r="H246" s="11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6.5" customHeight="1" x14ac:dyDescent="0.3">
      <c r="A247" s="10"/>
      <c r="B247" s="14"/>
      <c r="C247" s="10"/>
      <c r="D247" s="10"/>
      <c r="E247" s="10"/>
      <c r="F247" s="10"/>
      <c r="G247" s="11"/>
      <c r="H247" s="11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6.5" customHeight="1" x14ac:dyDescent="0.3">
      <c r="A248" s="10"/>
      <c r="B248" s="14"/>
      <c r="C248" s="10"/>
      <c r="D248" s="10"/>
      <c r="E248" s="10"/>
      <c r="F248" s="10"/>
      <c r="G248" s="11"/>
      <c r="H248" s="11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6.5" customHeight="1" x14ac:dyDescent="0.3">
      <c r="A249" s="10"/>
      <c r="B249" s="14"/>
      <c r="C249" s="10"/>
      <c r="D249" s="10"/>
      <c r="E249" s="10"/>
      <c r="F249" s="10"/>
      <c r="G249" s="11"/>
      <c r="H249" s="11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6.5" customHeight="1" x14ac:dyDescent="0.3">
      <c r="A250" s="10"/>
      <c r="B250" s="14"/>
      <c r="C250" s="10"/>
      <c r="D250" s="10"/>
      <c r="E250" s="10"/>
      <c r="F250" s="10"/>
      <c r="G250" s="11"/>
      <c r="H250" s="11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6.5" customHeight="1" x14ac:dyDescent="0.3">
      <c r="A251" s="10"/>
      <c r="B251" s="14"/>
      <c r="C251" s="10"/>
      <c r="D251" s="10"/>
      <c r="E251" s="10"/>
      <c r="F251" s="10"/>
      <c r="G251" s="11"/>
      <c r="H251" s="11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6.5" customHeight="1" x14ac:dyDescent="0.3">
      <c r="A252" s="10"/>
      <c r="B252" s="14"/>
      <c r="C252" s="10"/>
      <c r="D252" s="10"/>
      <c r="E252" s="10"/>
      <c r="F252" s="10"/>
      <c r="G252" s="11"/>
      <c r="H252" s="11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6.5" customHeight="1" x14ac:dyDescent="0.3">
      <c r="A253" s="10"/>
      <c r="B253" s="14"/>
      <c r="C253" s="10"/>
      <c r="D253" s="10"/>
      <c r="E253" s="10"/>
      <c r="F253" s="10"/>
      <c r="G253" s="11"/>
      <c r="H253" s="11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6.5" customHeight="1" x14ac:dyDescent="0.3">
      <c r="A254" s="10"/>
      <c r="B254" s="14"/>
      <c r="C254" s="10"/>
      <c r="D254" s="10"/>
      <c r="E254" s="10"/>
      <c r="F254" s="10"/>
      <c r="G254" s="11"/>
      <c r="H254" s="11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6.5" customHeight="1" x14ac:dyDescent="0.3">
      <c r="A255" s="10"/>
      <c r="B255" s="14"/>
      <c r="C255" s="10"/>
      <c r="D255" s="10"/>
      <c r="E255" s="10"/>
      <c r="F255" s="10"/>
      <c r="G255" s="11"/>
      <c r="H255" s="11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6.5" customHeight="1" x14ac:dyDescent="0.3">
      <c r="A256" s="10"/>
      <c r="B256" s="14"/>
      <c r="C256" s="10"/>
      <c r="D256" s="10"/>
      <c r="E256" s="10"/>
      <c r="F256" s="10"/>
      <c r="G256" s="11"/>
      <c r="H256" s="11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6.5" customHeight="1" x14ac:dyDescent="0.3">
      <c r="A257" s="10"/>
      <c r="B257" s="14"/>
      <c r="C257" s="10"/>
      <c r="D257" s="10"/>
      <c r="E257" s="10"/>
      <c r="F257" s="10"/>
      <c r="G257" s="11"/>
      <c r="H257" s="11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6.5" customHeight="1" x14ac:dyDescent="0.3">
      <c r="A258" s="10"/>
      <c r="B258" s="14"/>
      <c r="C258" s="10"/>
      <c r="D258" s="10"/>
      <c r="E258" s="10"/>
      <c r="F258" s="10"/>
      <c r="G258" s="11"/>
      <c r="H258" s="11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6.5" customHeight="1" x14ac:dyDescent="0.3">
      <c r="A259" s="10"/>
      <c r="B259" s="14"/>
      <c r="C259" s="10"/>
      <c r="D259" s="10"/>
      <c r="E259" s="10"/>
      <c r="F259" s="10"/>
      <c r="G259" s="11"/>
      <c r="H259" s="11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6.5" customHeight="1" x14ac:dyDescent="0.3">
      <c r="A260" s="10"/>
      <c r="B260" s="14"/>
      <c r="C260" s="10"/>
      <c r="D260" s="10"/>
      <c r="E260" s="10"/>
      <c r="F260" s="10"/>
      <c r="G260" s="11"/>
      <c r="H260" s="11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6.5" customHeight="1" x14ac:dyDescent="0.3">
      <c r="A261" s="10"/>
      <c r="B261" s="14"/>
      <c r="C261" s="10"/>
      <c r="D261" s="10"/>
      <c r="E261" s="10"/>
      <c r="F261" s="10"/>
      <c r="G261" s="11"/>
      <c r="H261" s="11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6.5" customHeight="1" x14ac:dyDescent="0.3">
      <c r="A262" s="10"/>
      <c r="B262" s="14"/>
      <c r="C262" s="10"/>
      <c r="D262" s="10"/>
      <c r="E262" s="10"/>
      <c r="F262" s="10"/>
      <c r="G262" s="11"/>
      <c r="H262" s="11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6.5" customHeight="1" x14ac:dyDescent="0.3">
      <c r="A263" s="10"/>
      <c r="B263" s="14"/>
      <c r="C263" s="10"/>
      <c r="D263" s="10"/>
      <c r="E263" s="10"/>
      <c r="F263" s="10"/>
      <c r="G263" s="11"/>
      <c r="H263" s="11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6.5" customHeight="1" x14ac:dyDescent="0.3">
      <c r="A264" s="10"/>
      <c r="B264" s="14"/>
      <c r="C264" s="10"/>
      <c r="D264" s="10"/>
      <c r="E264" s="10"/>
      <c r="F264" s="10"/>
      <c r="G264" s="11"/>
      <c r="H264" s="11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6.5" customHeight="1" x14ac:dyDescent="0.3">
      <c r="A265" s="10"/>
      <c r="B265" s="14"/>
      <c r="C265" s="10"/>
      <c r="D265" s="10"/>
      <c r="E265" s="10"/>
      <c r="F265" s="10"/>
      <c r="G265" s="11"/>
      <c r="H265" s="11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6.5" customHeight="1" x14ac:dyDescent="0.3">
      <c r="A266" s="10"/>
      <c r="B266" s="14"/>
      <c r="C266" s="10"/>
      <c r="D266" s="10"/>
      <c r="E266" s="10"/>
      <c r="F266" s="10"/>
      <c r="G266" s="11"/>
      <c r="H266" s="11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6.5" customHeight="1" x14ac:dyDescent="0.3">
      <c r="A267" s="10"/>
      <c r="B267" s="14"/>
      <c r="C267" s="10"/>
      <c r="D267" s="10"/>
      <c r="E267" s="10"/>
      <c r="F267" s="10"/>
      <c r="G267" s="11"/>
      <c r="H267" s="11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6.5" customHeight="1" x14ac:dyDescent="0.3">
      <c r="A268" s="10"/>
      <c r="B268" s="14"/>
      <c r="C268" s="10"/>
      <c r="D268" s="10"/>
      <c r="E268" s="10"/>
      <c r="F268" s="10"/>
      <c r="G268" s="11"/>
      <c r="H268" s="11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6.5" customHeight="1" x14ac:dyDescent="0.3">
      <c r="A269" s="10"/>
      <c r="B269" s="14"/>
      <c r="C269" s="10"/>
      <c r="D269" s="10"/>
      <c r="E269" s="10"/>
      <c r="F269" s="10"/>
      <c r="G269" s="11"/>
      <c r="H269" s="11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6.5" customHeight="1" x14ac:dyDescent="0.3">
      <c r="A270" s="10"/>
      <c r="B270" s="14"/>
      <c r="C270" s="10"/>
      <c r="D270" s="10"/>
      <c r="E270" s="10"/>
      <c r="F270" s="10"/>
      <c r="G270" s="11"/>
      <c r="H270" s="11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6.5" customHeight="1" x14ac:dyDescent="0.3">
      <c r="A271" s="10"/>
      <c r="B271" s="14"/>
      <c r="C271" s="10"/>
      <c r="D271" s="10"/>
      <c r="E271" s="10"/>
      <c r="F271" s="10"/>
      <c r="G271" s="11"/>
      <c r="H271" s="11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6.5" customHeight="1" x14ac:dyDescent="0.3">
      <c r="A272" s="10"/>
      <c r="B272" s="14"/>
      <c r="C272" s="10"/>
      <c r="D272" s="10"/>
      <c r="E272" s="10"/>
      <c r="F272" s="10"/>
      <c r="G272" s="11"/>
      <c r="H272" s="11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6.5" customHeight="1" x14ac:dyDescent="0.3">
      <c r="A273" s="10"/>
      <c r="B273" s="14"/>
      <c r="C273" s="10"/>
      <c r="D273" s="10"/>
      <c r="E273" s="10"/>
      <c r="F273" s="10"/>
      <c r="G273" s="11"/>
      <c r="H273" s="11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6.5" customHeight="1" x14ac:dyDescent="0.3">
      <c r="A274" s="10"/>
      <c r="B274" s="14"/>
      <c r="C274" s="10"/>
      <c r="D274" s="10"/>
      <c r="E274" s="10"/>
      <c r="F274" s="10"/>
      <c r="G274" s="11"/>
      <c r="H274" s="11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6.5" customHeight="1" x14ac:dyDescent="0.3">
      <c r="A275" s="10"/>
      <c r="B275" s="14"/>
      <c r="C275" s="10"/>
      <c r="D275" s="10"/>
      <c r="E275" s="10"/>
      <c r="F275" s="10"/>
      <c r="G275" s="11"/>
      <c r="H275" s="11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6.5" customHeight="1" x14ac:dyDescent="0.3">
      <c r="A276" s="10"/>
      <c r="B276" s="14"/>
      <c r="C276" s="10"/>
      <c r="D276" s="10"/>
      <c r="E276" s="10"/>
      <c r="F276" s="10"/>
      <c r="G276" s="11"/>
      <c r="H276" s="11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6.5" customHeight="1" x14ac:dyDescent="0.3">
      <c r="A277" s="10"/>
      <c r="B277" s="14"/>
      <c r="C277" s="10"/>
      <c r="D277" s="10"/>
      <c r="E277" s="10"/>
      <c r="F277" s="10"/>
      <c r="G277" s="11"/>
      <c r="H277" s="11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6.5" customHeight="1" x14ac:dyDescent="0.3">
      <c r="A278" s="10"/>
      <c r="B278" s="14"/>
      <c r="C278" s="10"/>
      <c r="D278" s="10"/>
      <c r="E278" s="10"/>
      <c r="F278" s="10"/>
      <c r="G278" s="11"/>
      <c r="H278" s="11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6.5" customHeight="1" x14ac:dyDescent="0.3">
      <c r="A279" s="10"/>
      <c r="B279" s="14"/>
      <c r="C279" s="10"/>
      <c r="D279" s="10"/>
      <c r="E279" s="10"/>
      <c r="F279" s="10"/>
      <c r="G279" s="11"/>
      <c r="H279" s="11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6.5" customHeight="1" x14ac:dyDescent="0.3">
      <c r="A280" s="10"/>
      <c r="B280" s="14"/>
      <c r="C280" s="10"/>
      <c r="D280" s="10"/>
      <c r="E280" s="10"/>
      <c r="F280" s="10"/>
      <c r="G280" s="11"/>
      <c r="H280" s="11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6.5" customHeight="1" x14ac:dyDescent="0.3">
      <c r="A281" s="10"/>
      <c r="B281" s="14"/>
      <c r="C281" s="10"/>
      <c r="D281" s="10"/>
      <c r="E281" s="10"/>
      <c r="F281" s="10"/>
      <c r="G281" s="11"/>
      <c r="H281" s="11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6.5" customHeight="1" x14ac:dyDescent="0.3">
      <c r="A282" s="10"/>
      <c r="B282" s="14"/>
      <c r="C282" s="10"/>
      <c r="D282" s="10"/>
      <c r="E282" s="10"/>
      <c r="F282" s="10"/>
      <c r="G282" s="11"/>
      <c r="H282" s="11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6.5" customHeight="1" x14ac:dyDescent="0.3">
      <c r="A283" s="10"/>
      <c r="B283" s="14"/>
      <c r="C283" s="10"/>
      <c r="D283" s="10"/>
      <c r="E283" s="10"/>
      <c r="F283" s="10"/>
      <c r="G283" s="11"/>
      <c r="H283" s="11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6.5" customHeight="1" x14ac:dyDescent="0.3">
      <c r="A284" s="10"/>
      <c r="B284" s="14"/>
      <c r="C284" s="10"/>
      <c r="D284" s="10"/>
      <c r="E284" s="10"/>
      <c r="F284" s="10"/>
      <c r="G284" s="11"/>
      <c r="H284" s="11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6.5" customHeight="1" x14ac:dyDescent="0.3">
      <c r="A285" s="10"/>
      <c r="B285" s="14"/>
      <c r="C285" s="10"/>
      <c r="D285" s="10"/>
      <c r="E285" s="10"/>
      <c r="F285" s="10"/>
      <c r="G285" s="11"/>
      <c r="H285" s="11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6.5" customHeight="1" x14ac:dyDescent="0.3">
      <c r="A286" s="10"/>
      <c r="B286" s="14"/>
      <c r="C286" s="10"/>
      <c r="D286" s="10"/>
      <c r="E286" s="10"/>
      <c r="F286" s="10"/>
      <c r="G286" s="11"/>
      <c r="H286" s="11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6.5" customHeight="1" x14ac:dyDescent="0.3">
      <c r="A287" s="10"/>
      <c r="B287" s="14"/>
      <c r="C287" s="10"/>
      <c r="D287" s="10"/>
      <c r="E287" s="10"/>
      <c r="F287" s="10"/>
      <c r="G287" s="11"/>
      <c r="H287" s="11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6.5" customHeight="1" x14ac:dyDescent="0.3">
      <c r="A288" s="10"/>
      <c r="B288" s="14"/>
      <c r="C288" s="10"/>
      <c r="D288" s="10"/>
      <c r="E288" s="10"/>
      <c r="F288" s="10"/>
      <c r="G288" s="11"/>
      <c r="H288" s="11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6.5" customHeight="1" x14ac:dyDescent="0.3">
      <c r="A289" s="10"/>
      <c r="B289" s="14"/>
      <c r="C289" s="10"/>
      <c r="D289" s="10"/>
      <c r="E289" s="10"/>
      <c r="F289" s="10"/>
      <c r="G289" s="11"/>
      <c r="H289" s="11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6.5" customHeight="1" x14ac:dyDescent="0.3">
      <c r="A290" s="10"/>
      <c r="B290" s="14"/>
      <c r="C290" s="10"/>
      <c r="D290" s="10"/>
      <c r="E290" s="10"/>
      <c r="F290" s="10"/>
      <c r="G290" s="11"/>
      <c r="H290" s="11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6.5" customHeight="1" x14ac:dyDescent="0.3">
      <c r="A291" s="10"/>
      <c r="B291" s="14"/>
      <c r="C291" s="10"/>
      <c r="D291" s="10"/>
      <c r="E291" s="10"/>
      <c r="F291" s="10"/>
      <c r="G291" s="11"/>
      <c r="H291" s="11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6.5" customHeight="1" x14ac:dyDescent="0.3">
      <c r="A292" s="10"/>
      <c r="B292" s="14"/>
      <c r="C292" s="10"/>
      <c r="D292" s="10"/>
      <c r="E292" s="10"/>
      <c r="F292" s="10"/>
      <c r="G292" s="11"/>
      <c r="H292" s="11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6.5" customHeight="1" x14ac:dyDescent="0.3">
      <c r="A293" s="10"/>
      <c r="B293" s="14"/>
      <c r="C293" s="10"/>
      <c r="D293" s="10"/>
      <c r="E293" s="10"/>
      <c r="F293" s="10"/>
      <c r="G293" s="11"/>
      <c r="H293" s="11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6.5" customHeight="1" x14ac:dyDescent="0.3">
      <c r="A294" s="10"/>
      <c r="B294" s="14"/>
      <c r="C294" s="10"/>
      <c r="D294" s="10"/>
      <c r="E294" s="10"/>
      <c r="F294" s="10"/>
      <c r="G294" s="11"/>
      <c r="H294" s="11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6.5" customHeight="1" x14ac:dyDescent="0.3">
      <c r="A295" s="10"/>
      <c r="B295" s="14"/>
      <c r="C295" s="10"/>
      <c r="D295" s="10"/>
      <c r="E295" s="10"/>
      <c r="F295" s="10"/>
      <c r="G295" s="11"/>
      <c r="H295" s="11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6.5" customHeight="1" x14ac:dyDescent="0.3">
      <c r="A296" s="10"/>
      <c r="B296" s="14"/>
      <c r="C296" s="10"/>
      <c r="D296" s="10"/>
      <c r="E296" s="10"/>
      <c r="F296" s="10"/>
      <c r="G296" s="11"/>
      <c r="H296" s="11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6.5" customHeight="1" x14ac:dyDescent="0.3">
      <c r="A297" s="10"/>
      <c r="B297" s="14"/>
      <c r="C297" s="10"/>
      <c r="D297" s="10"/>
      <c r="E297" s="10"/>
      <c r="F297" s="10"/>
      <c r="G297" s="11"/>
      <c r="H297" s="11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6.5" customHeight="1" x14ac:dyDescent="0.3">
      <c r="A298" s="10"/>
      <c r="B298" s="14"/>
      <c r="C298" s="10"/>
      <c r="D298" s="10"/>
      <c r="E298" s="10"/>
      <c r="F298" s="10"/>
      <c r="G298" s="11"/>
      <c r="H298" s="11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6.5" customHeight="1" x14ac:dyDescent="0.3">
      <c r="A299" s="10"/>
      <c r="B299" s="14"/>
      <c r="C299" s="10"/>
      <c r="D299" s="10"/>
      <c r="E299" s="10"/>
      <c r="F299" s="10"/>
      <c r="G299" s="11"/>
      <c r="H299" s="11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6.5" customHeight="1" x14ac:dyDescent="0.3">
      <c r="A300" s="10"/>
      <c r="B300" s="14"/>
      <c r="C300" s="10"/>
      <c r="D300" s="10"/>
      <c r="E300" s="10"/>
      <c r="F300" s="10"/>
      <c r="G300" s="11"/>
      <c r="H300" s="11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6.5" customHeight="1" x14ac:dyDescent="0.3">
      <c r="A301" s="10"/>
      <c r="B301" s="14"/>
      <c r="C301" s="10"/>
      <c r="D301" s="10"/>
      <c r="E301" s="10"/>
      <c r="F301" s="10"/>
      <c r="G301" s="11"/>
      <c r="H301" s="11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6.5" customHeight="1" x14ac:dyDescent="0.3">
      <c r="A302" s="10"/>
      <c r="B302" s="14"/>
      <c r="C302" s="10"/>
      <c r="D302" s="10"/>
      <c r="E302" s="10"/>
      <c r="F302" s="10"/>
      <c r="G302" s="11"/>
      <c r="H302" s="11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6.5" customHeight="1" x14ac:dyDescent="0.3">
      <c r="A303" s="10"/>
      <c r="B303" s="14"/>
      <c r="C303" s="10"/>
      <c r="D303" s="10"/>
      <c r="E303" s="10"/>
      <c r="F303" s="10"/>
      <c r="G303" s="11"/>
      <c r="H303" s="11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6.5" customHeight="1" x14ac:dyDescent="0.3">
      <c r="A304" s="10"/>
      <c r="B304" s="14"/>
      <c r="C304" s="10"/>
      <c r="D304" s="10"/>
      <c r="E304" s="10"/>
      <c r="F304" s="10"/>
      <c r="G304" s="11"/>
      <c r="H304" s="11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6.5" customHeight="1" x14ac:dyDescent="0.3">
      <c r="A305" s="10"/>
      <c r="B305" s="14"/>
      <c r="C305" s="10"/>
      <c r="D305" s="10"/>
      <c r="E305" s="10"/>
      <c r="F305" s="10"/>
      <c r="G305" s="11"/>
      <c r="H305" s="11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6.5" customHeight="1" x14ac:dyDescent="0.3">
      <c r="A306" s="10"/>
      <c r="B306" s="14"/>
      <c r="C306" s="10"/>
      <c r="D306" s="10"/>
      <c r="E306" s="10"/>
      <c r="F306" s="10"/>
      <c r="G306" s="11"/>
      <c r="H306" s="11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6.5" customHeight="1" x14ac:dyDescent="0.3">
      <c r="A307" s="10"/>
      <c r="B307" s="14"/>
      <c r="C307" s="10"/>
      <c r="D307" s="10"/>
      <c r="E307" s="10"/>
      <c r="F307" s="10"/>
      <c r="G307" s="11"/>
      <c r="H307" s="11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6.5" customHeight="1" x14ac:dyDescent="0.3">
      <c r="A308" s="10"/>
      <c r="B308" s="14"/>
      <c r="C308" s="10"/>
      <c r="D308" s="10"/>
      <c r="E308" s="10"/>
      <c r="F308" s="10"/>
      <c r="G308" s="11"/>
      <c r="H308" s="11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6.5" customHeight="1" x14ac:dyDescent="0.3">
      <c r="A309" s="10"/>
      <c r="B309" s="14"/>
      <c r="C309" s="10"/>
      <c r="D309" s="10"/>
      <c r="E309" s="10"/>
      <c r="F309" s="10"/>
      <c r="G309" s="11"/>
      <c r="H309" s="11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6.5" customHeight="1" x14ac:dyDescent="0.3">
      <c r="A310" s="10"/>
      <c r="B310" s="14"/>
      <c r="C310" s="10"/>
      <c r="D310" s="10"/>
      <c r="E310" s="10"/>
      <c r="F310" s="10"/>
      <c r="G310" s="11"/>
      <c r="H310" s="11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6.5" customHeight="1" x14ac:dyDescent="0.3">
      <c r="A311" s="10"/>
      <c r="B311" s="14"/>
      <c r="C311" s="10"/>
      <c r="D311" s="10"/>
      <c r="E311" s="10"/>
      <c r="F311" s="10"/>
      <c r="G311" s="11"/>
      <c r="H311" s="11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6.5" customHeight="1" x14ac:dyDescent="0.3">
      <c r="A312" s="10"/>
      <c r="B312" s="14"/>
      <c r="C312" s="10"/>
      <c r="D312" s="10"/>
      <c r="E312" s="10"/>
      <c r="F312" s="10"/>
      <c r="G312" s="11"/>
      <c r="H312" s="11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6.5" customHeight="1" x14ac:dyDescent="0.3">
      <c r="A313" s="10"/>
      <c r="B313" s="14"/>
      <c r="C313" s="10"/>
      <c r="D313" s="10"/>
      <c r="E313" s="10"/>
      <c r="F313" s="10"/>
      <c r="G313" s="11"/>
      <c r="H313" s="11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6.5" customHeight="1" x14ac:dyDescent="0.3">
      <c r="A314" s="10"/>
      <c r="B314" s="14"/>
      <c r="C314" s="10"/>
      <c r="D314" s="10"/>
      <c r="E314" s="10"/>
      <c r="F314" s="10"/>
      <c r="G314" s="11"/>
      <c r="H314" s="11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6.5" customHeight="1" x14ac:dyDescent="0.3">
      <c r="A315" s="10"/>
      <c r="B315" s="14"/>
      <c r="C315" s="10"/>
      <c r="D315" s="10"/>
      <c r="E315" s="10"/>
      <c r="F315" s="10"/>
      <c r="G315" s="11"/>
      <c r="H315" s="11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6.5" customHeight="1" x14ac:dyDescent="0.3">
      <c r="A316" s="10"/>
      <c r="B316" s="14"/>
      <c r="C316" s="10"/>
      <c r="D316" s="10"/>
      <c r="E316" s="10"/>
      <c r="F316" s="10"/>
      <c r="G316" s="11"/>
      <c r="H316" s="11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6.5" customHeight="1" x14ac:dyDescent="0.3">
      <c r="A317" s="10"/>
      <c r="B317" s="14"/>
      <c r="C317" s="10"/>
      <c r="D317" s="10"/>
      <c r="E317" s="10"/>
      <c r="F317" s="10"/>
      <c r="G317" s="11"/>
      <c r="H317" s="11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6.5" customHeight="1" x14ac:dyDescent="0.3">
      <c r="A318" s="10"/>
      <c r="B318" s="14"/>
      <c r="C318" s="10"/>
      <c r="D318" s="10"/>
      <c r="E318" s="10"/>
      <c r="F318" s="10"/>
      <c r="G318" s="11"/>
      <c r="H318" s="11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6.5" customHeight="1" x14ac:dyDescent="0.3">
      <c r="A319" s="10"/>
      <c r="B319" s="14"/>
      <c r="C319" s="10"/>
      <c r="D319" s="10"/>
      <c r="E319" s="10"/>
      <c r="F319" s="10"/>
      <c r="G319" s="11"/>
      <c r="H319" s="11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6.5" customHeight="1" x14ac:dyDescent="0.3">
      <c r="A320" s="10"/>
      <c r="B320" s="14"/>
      <c r="C320" s="10"/>
      <c r="D320" s="10"/>
      <c r="E320" s="10"/>
      <c r="F320" s="10"/>
      <c r="G320" s="11"/>
      <c r="H320" s="11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6.5" customHeight="1" x14ac:dyDescent="0.3">
      <c r="A321" s="10"/>
      <c r="B321" s="14"/>
      <c r="C321" s="10"/>
      <c r="D321" s="10"/>
      <c r="E321" s="10"/>
      <c r="F321" s="10"/>
      <c r="G321" s="11"/>
      <c r="H321" s="11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6.5" customHeight="1" x14ac:dyDescent="0.3">
      <c r="A322" s="10"/>
      <c r="B322" s="14"/>
      <c r="C322" s="10"/>
      <c r="D322" s="10"/>
      <c r="E322" s="10"/>
      <c r="F322" s="10"/>
      <c r="G322" s="11"/>
      <c r="H322" s="11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6.5" customHeight="1" x14ac:dyDescent="0.3">
      <c r="A323" s="10"/>
      <c r="B323" s="14"/>
      <c r="C323" s="10"/>
      <c r="D323" s="10"/>
      <c r="E323" s="10"/>
      <c r="F323" s="10"/>
      <c r="G323" s="11"/>
      <c r="H323" s="11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6.5" customHeight="1" x14ac:dyDescent="0.3">
      <c r="A324" s="10"/>
      <c r="B324" s="14"/>
      <c r="C324" s="10"/>
      <c r="D324" s="10"/>
      <c r="E324" s="10"/>
      <c r="F324" s="10"/>
      <c r="G324" s="11"/>
      <c r="H324" s="11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6.5" customHeight="1" x14ac:dyDescent="0.3">
      <c r="A325" s="10"/>
      <c r="B325" s="14"/>
      <c r="C325" s="10"/>
      <c r="D325" s="10"/>
      <c r="E325" s="10"/>
      <c r="F325" s="10"/>
      <c r="G325" s="11"/>
      <c r="H325" s="11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6.5" customHeight="1" x14ac:dyDescent="0.3">
      <c r="A326" s="10"/>
      <c r="B326" s="14"/>
      <c r="C326" s="10"/>
      <c r="D326" s="10"/>
      <c r="E326" s="10"/>
      <c r="F326" s="10"/>
      <c r="G326" s="11"/>
      <c r="H326" s="11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6.5" customHeight="1" x14ac:dyDescent="0.3">
      <c r="A327" s="10"/>
      <c r="B327" s="14"/>
      <c r="C327" s="10"/>
      <c r="D327" s="10"/>
      <c r="E327" s="10"/>
      <c r="F327" s="10"/>
      <c r="G327" s="11"/>
      <c r="H327" s="11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6.5" customHeight="1" x14ac:dyDescent="0.3">
      <c r="A328" s="10"/>
      <c r="B328" s="14"/>
      <c r="C328" s="10"/>
      <c r="D328" s="10"/>
      <c r="E328" s="10"/>
      <c r="F328" s="10"/>
      <c r="G328" s="11"/>
      <c r="H328" s="11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6.5" customHeight="1" x14ac:dyDescent="0.3">
      <c r="A329" s="10"/>
      <c r="B329" s="14"/>
      <c r="C329" s="10"/>
      <c r="D329" s="10"/>
      <c r="E329" s="10"/>
      <c r="F329" s="10"/>
      <c r="G329" s="11"/>
      <c r="H329" s="11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6.5" customHeight="1" x14ac:dyDescent="0.3">
      <c r="A330" s="10"/>
      <c r="B330" s="14"/>
      <c r="C330" s="10"/>
      <c r="D330" s="10"/>
      <c r="E330" s="10"/>
      <c r="F330" s="10"/>
      <c r="G330" s="11"/>
      <c r="H330" s="11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6.5" customHeight="1" x14ac:dyDescent="0.3">
      <c r="A331" s="10"/>
      <c r="B331" s="14"/>
      <c r="C331" s="10"/>
      <c r="D331" s="10"/>
      <c r="E331" s="10"/>
      <c r="F331" s="10"/>
      <c r="G331" s="11"/>
      <c r="H331" s="11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6.5" customHeight="1" x14ac:dyDescent="0.3">
      <c r="A332" s="10"/>
      <c r="B332" s="14"/>
      <c r="C332" s="10"/>
      <c r="D332" s="10"/>
      <c r="E332" s="10"/>
      <c r="F332" s="10"/>
      <c r="G332" s="11"/>
      <c r="H332" s="11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6.5" customHeight="1" x14ac:dyDescent="0.3">
      <c r="A333" s="10"/>
      <c r="B333" s="14"/>
      <c r="C333" s="10"/>
      <c r="D333" s="10"/>
      <c r="E333" s="10"/>
      <c r="F333" s="10"/>
      <c r="G333" s="11"/>
      <c r="H333" s="11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6.5" customHeight="1" x14ac:dyDescent="0.3">
      <c r="A334" s="10"/>
      <c r="B334" s="14"/>
      <c r="C334" s="10"/>
      <c r="D334" s="10"/>
      <c r="E334" s="10"/>
      <c r="F334" s="10"/>
      <c r="G334" s="11"/>
      <c r="H334" s="11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6.5" customHeight="1" x14ac:dyDescent="0.3">
      <c r="A335" s="10"/>
      <c r="B335" s="14"/>
      <c r="C335" s="10"/>
      <c r="D335" s="10"/>
      <c r="E335" s="10"/>
      <c r="F335" s="10"/>
      <c r="G335" s="11"/>
      <c r="H335" s="11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6.5" customHeight="1" x14ac:dyDescent="0.3">
      <c r="A336" s="10"/>
      <c r="B336" s="14"/>
      <c r="C336" s="10"/>
      <c r="D336" s="10"/>
      <c r="E336" s="10"/>
      <c r="F336" s="10"/>
      <c r="G336" s="11"/>
      <c r="H336" s="11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6.5" customHeight="1" x14ac:dyDescent="0.3">
      <c r="A337" s="10"/>
      <c r="B337" s="14"/>
      <c r="C337" s="10"/>
      <c r="D337" s="10"/>
      <c r="E337" s="10"/>
      <c r="F337" s="10"/>
      <c r="G337" s="11"/>
      <c r="H337" s="11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6.5" customHeight="1" x14ac:dyDescent="0.3">
      <c r="A338" s="10"/>
      <c r="B338" s="14"/>
      <c r="C338" s="10"/>
      <c r="D338" s="10"/>
      <c r="E338" s="10"/>
      <c r="F338" s="10"/>
      <c r="G338" s="11"/>
      <c r="H338" s="11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6.5" customHeight="1" x14ac:dyDescent="0.3">
      <c r="A339" s="10"/>
      <c r="B339" s="14"/>
      <c r="C339" s="10"/>
      <c r="D339" s="10"/>
      <c r="E339" s="10"/>
      <c r="F339" s="10"/>
      <c r="G339" s="11"/>
      <c r="H339" s="11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6.5" customHeight="1" x14ac:dyDescent="0.3">
      <c r="A340" s="10"/>
      <c r="B340" s="14"/>
      <c r="C340" s="10"/>
      <c r="D340" s="10"/>
      <c r="E340" s="10"/>
      <c r="F340" s="10"/>
      <c r="G340" s="11"/>
      <c r="H340" s="11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6.5" customHeight="1" x14ac:dyDescent="0.3">
      <c r="A341" s="10"/>
      <c r="B341" s="14"/>
      <c r="C341" s="10"/>
      <c r="D341" s="10"/>
      <c r="E341" s="10"/>
      <c r="F341" s="10"/>
      <c r="G341" s="11"/>
      <c r="H341" s="11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6.5" customHeight="1" x14ac:dyDescent="0.3">
      <c r="A342" s="10"/>
      <c r="B342" s="14"/>
      <c r="C342" s="10"/>
      <c r="D342" s="10"/>
      <c r="E342" s="10"/>
      <c r="F342" s="10"/>
      <c r="G342" s="11"/>
      <c r="H342" s="11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6.5" customHeight="1" x14ac:dyDescent="0.3">
      <c r="A343" s="10"/>
      <c r="B343" s="14"/>
      <c r="C343" s="10"/>
      <c r="D343" s="10"/>
      <c r="E343" s="10"/>
      <c r="F343" s="10"/>
      <c r="G343" s="11"/>
      <c r="H343" s="11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6.5" customHeight="1" x14ac:dyDescent="0.3">
      <c r="A344" s="10"/>
      <c r="B344" s="14"/>
      <c r="C344" s="10"/>
      <c r="D344" s="10"/>
      <c r="E344" s="10"/>
      <c r="F344" s="10"/>
      <c r="G344" s="11"/>
      <c r="H344" s="11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6.5" customHeight="1" x14ac:dyDescent="0.3">
      <c r="A345" s="10"/>
      <c r="B345" s="14"/>
      <c r="C345" s="10"/>
      <c r="D345" s="10"/>
      <c r="E345" s="10"/>
      <c r="F345" s="10"/>
      <c r="G345" s="11"/>
      <c r="H345" s="11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6.5" customHeight="1" x14ac:dyDescent="0.3">
      <c r="A346" s="10"/>
      <c r="B346" s="14"/>
      <c r="C346" s="10"/>
      <c r="D346" s="10"/>
      <c r="E346" s="10"/>
      <c r="F346" s="10"/>
      <c r="G346" s="11"/>
      <c r="H346" s="11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6.5" customHeight="1" x14ac:dyDescent="0.3">
      <c r="A347" s="10"/>
      <c r="B347" s="14"/>
      <c r="C347" s="10"/>
      <c r="D347" s="10"/>
      <c r="E347" s="10"/>
      <c r="F347" s="10"/>
      <c r="G347" s="11"/>
      <c r="H347" s="11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6.5" customHeight="1" x14ac:dyDescent="0.3">
      <c r="A348" s="10"/>
      <c r="B348" s="14"/>
      <c r="C348" s="10"/>
      <c r="D348" s="10"/>
      <c r="E348" s="10"/>
      <c r="F348" s="10"/>
      <c r="G348" s="11"/>
      <c r="H348" s="11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6.5" customHeight="1" x14ac:dyDescent="0.3">
      <c r="A349" s="10"/>
      <c r="B349" s="14"/>
      <c r="C349" s="10"/>
      <c r="D349" s="10"/>
      <c r="E349" s="10"/>
      <c r="F349" s="10"/>
      <c r="G349" s="11"/>
      <c r="H349" s="11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6.5" customHeight="1" x14ac:dyDescent="0.3">
      <c r="A350" s="10"/>
      <c r="B350" s="14"/>
      <c r="C350" s="10"/>
      <c r="D350" s="10"/>
      <c r="E350" s="10"/>
      <c r="F350" s="10"/>
      <c r="G350" s="11"/>
      <c r="H350" s="11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6.5" customHeight="1" x14ac:dyDescent="0.3">
      <c r="A351" s="10"/>
      <c r="B351" s="14"/>
      <c r="C351" s="10"/>
      <c r="D351" s="10"/>
      <c r="E351" s="10"/>
      <c r="F351" s="10"/>
      <c r="G351" s="11"/>
      <c r="H351" s="11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6.5" customHeight="1" x14ac:dyDescent="0.3">
      <c r="A352" s="10"/>
      <c r="B352" s="14"/>
      <c r="C352" s="10"/>
      <c r="D352" s="10"/>
      <c r="E352" s="10"/>
      <c r="F352" s="10"/>
      <c r="G352" s="11"/>
      <c r="H352" s="11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6.5" customHeight="1" x14ac:dyDescent="0.3">
      <c r="A353" s="10"/>
      <c r="B353" s="14"/>
      <c r="C353" s="10"/>
      <c r="D353" s="10"/>
      <c r="E353" s="10"/>
      <c r="F353" s="10"/>
      <c r="G353" s="11"/>
      <c r="H353" s="11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6.5" customHeight="1" x14ac:dyDescent="0.3">
      <c r="A354" s="10"/>
      <c r="B354" s="14"/>
      <c r="C354" s="10"/>
      <c r="D354" s="10"/>
      <c r="E354" s="10"/>
      <c r="F354" s="10"/>
      <c r="G354" s="11"/>
      <c r="H354" s="11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6.5" customHeight="1" x14ac:dyDescent="0.3">
      <c r="A355" s="10"/>
      <c r="B355" s="14"/>
      <c r="C355" s="10"/>
      <c r="D355" s="10"/>
      <c r="E355" s="10"/>
      <c r="F355" s="10"/>
      <c r="G355" s="11"/>
      <c r="H355" s="11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6.5" customHeight="1" x14ac:dyDescent="0.3">
      <c r="A356" s="10"/>
      <c r="B356" s="14"/>
      <c r="C356" s="10"/>
      <c r="D356" s="10"/>
      <c r="E356" s="10"/>
      <c r="F356" s="10"/>
      <c r="G356" s="11"/>
      <c r="H356" s="11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6.5" customHeight="1" x14ac:dyDescent="0.3">
      <c r="A357" s="10"/>
      <c r="B357" s="14"/>
      <c r="C357" s="10"/>
      <c r="D357" s="10"/>
      <c r="E357" s="10"/>
      <c r="F357" s="10"/>
      <c r="G357" s="11"/>
      <c r="H357" s="11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6.5" customHeight="1" x14ac:dyDescent="0.3">
      <c r="A358" s="10"/>
      <c r="B358" s="14"/>
      <c r="C358" s="10"/>
      <c r="D358" s="10"/>
      <c r="E358" s="10"/>
      <c r="F358" s="10"/>
      <c r="G358" s="11"/>
      <c r="H358" s="11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6.5" customHeight="1" x14ac:dyDescent="0.3">
      <c r="A359" s="10"/>
      <c r="B359" s="14"/>
      <c r="C359" s="10"/>
      <c r="D359" s="10"/>
      <c r="E359" s="10"/>
      <c r="F359" s="10"/>
      <c r="G359" s="11"/>
      <c r="H359" s="11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6.5" customHeight="1" x14ac:dyDescent="0.3">
      <c r="A360" s="10"/>
      <c r="B360" s="14"/>
      <c r="C360" s="10"/>
      <c r="D360" s="10"/>
      <c r="E360" s="10"/>
      <c r="F360" s="10"/>
      <c r="G360" s="11"/>
      <c r="H360" s="11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6.5" customHeight="1" x14ac:dyDescent="0.3">
      <c r="A361" s="10"/>
      <c r="B361" s="14"/>
      <c r="C361" s="10"/>
      <c r="D361" s="10"/>
      <c r="E361" s="10"/>
      <c r="F361" s="10"/>
      <c r="G361" s="11"/>
      <c r="H361" s="11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6.5" customHeight="1" x14ac:dyDescent="0.3">
      <c r="A362" s="10"/>
      <c r="B362" s="14"/>
      <c r="C362" s="10"/>
      <c r="D362" s="10"/>
      <c r="E362" s="10"/>
      <c r="F362" s="10"/>
      <c r="G362" s="11"/>
      <c r="H362" s="11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6.5" customHeight="1" x14ac:dyDescent="0.3">
      <c r="A363" s="10"/>
      <c r="B363" s="14"/>
      <c r="C363" s="10"/>
      <c r="D363" s="10"/>
      <c r="E363" s="10"/>
      <c r="F363" s="10"/>
      <c r="G363" s="11"/>
      <c r="H363" s="11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6.5" customHeight="1" x14ac:dyDescent="0.3">
      <c r="A364" s="10"/>
      <c r="B364" s="14"/>
      <c r="C364" s="10"/>
      <c r="D364" s="10"/>
      <c r="E364" s="10"/>
      <c r="F364" s="10"/>
      <c r="G364" s="11"/>
      <c r="H364" s="11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6.5" customHeight="1" x14ac:dyDescent="0.3">
      <c r="A365" s="10"/>
      <c r="B365" s="14"/>
      <c r="C365" s="10"/>
      <c r="D365" s="10"/>
      <c r="E365" s="10"/>
      <c r="F365" s="10"/>
      <c r="G365" s="11"/>
      <c r="H365" s="11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6.5" customHeight="1" x14ac:dyDescent="0.3">
      <c r="A366" s="10"/>
      <c r="B366" s="14"/>
      <c r="C366" s="10"/>
      <c r="D366" s="10"/>
      <c r="E366" s="10"/>
      <c r="F366" s="10"/>
      <c r="G366" s="11"/>
      <c r="H366" s="11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6.5" customHeight="1" x14ac:dyDescent="0.3">
      <c r="A367" s="10"/>
      <c r="B367" s="14"/>
      <c r="C367" s="10"/>
      <c r="D367" s="10"/>
      <c r="E367" s="10"/>
      <c r="F367" s="10"/>
      <c r="G367" s="11"/>
      <c r="H367" s="11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6.5" customHeight="1" x14ac:dyDescent="0.3">
      <c r="A368" s="10"/>
      <c r="B368" s="14"/>
      <c r="C368" s="10"/>
      <c r="D368" s="10"/>
      <c r="E368" s="10"/>
      <c r="F368" s="10"/>
      <c r="G368" s="11"/>
      <c r="H368" s="11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6.5" customHeight="1" x14ac:dyDescent="0.3">
      <c r="A369" s="10"/>
      <c r="B369" s="14"/>
      <c r="C369" s="10"/>
      <c r="D369" s="10"/>
      <c r="E369" s="10"/>
      <c r="F369" s="10"/>
      <c r="G369" s="11"/>
      <c r="H369" s="11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6.5" customHeight="1" x14ac:dyDescent="0.3">
      <c r="A370" s="10"/>
      <c r="B370" s="14"/>
      <c r="C370" s="10"/>
      <c r="D370" s="10"/>
      <c r="E370" s="10"/>
      <c r="F370" s="10"/>
      <c r="G370" s="11"/>
      <c r="H370" s="11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6.5" customHeight="1" x14ac:dyDescent="0.3">
      <c r="A371" s="10"/>
      <c r="B371" s="14"/>
      <c r="C371" s="10"/>
      <c r="D371" s="10"/>
      <c r="E371" s="10"/>
      <c r="F371" s="10"/>
      <c r="G371" s="11"/>
      <c r="H371" s="11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6.5" customHeight="1" x14ac:dyDescent="0.3">
      <c r="A372" s="10"/>
      <c r="B372" s="14"/>
      <c r="C372" s="10"/>
      <c r="D372" s="10"/>
      <c r="E372" s="10"/>
      <c r="F372" s="10"/>
      <c r="G372" s="11"/>
      <c r="H372" s="11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6.5" customHeight="1" x14ac:dyDescent="0.3">
      <c r="A373" s="10"/>
      <c r="B373" s="14"/>
      <c r="C373" s="10"/>
      <c r="D373" s="10"/>
      <c r="E373" s="10"/>
      <c r="F373" s="10"/>
      <c r="G373" s="11"/>
      <c r="H373" s="11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6.5" customHeight="1" x14ac:dyDescent="0.3">
      <c r="A374" s="10"/>
      <c r="B374" s="14"/>
      <c r="C374" s="10"/>
      <c r="D374" s="10"/>
      <c r="E374" s="10"/>
      <c r="F374" s="10"/>
      <c r="G374" s="11"/>
      <c r="H374" s="11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6.5" customHeight="1" x14ac:dyDescent="0.3">
      <c r="A375" s="10"/>
      <c r="B375" s="14"/>
      <c r="C375" s="10"/>
      <c r="D375" s="10"/>
      <c r="E375" s="10"/>
      <c r="F375" s="10"/>
      <c r="G375" s="11"/>
      <c r="H375" s="11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6.5" customHeight="1" x14ac:dyDescent="0.3">
      <c r="A376" s="10"/>
      <c r="B376" s="14"/>
      <c r="C376" s="10"/>
      <c r="D376" s="10"/>
      <c r="E376" s="10"/>
      <c r="F376" s="10"/>
      <c r="G376" s="11"/>
      <c r="H376" s="11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6.5" customHeight="1" x14ac:dyDescent="0.3">
      <c r="A377" s="10"/>
      <c r="B377" s="14"/>
      <c r="C377" s="10"/>
      <c r="D377" s="10"/>
      <c r="E377" s="10"/>
      <c r="F377" s="10"/>
      <c r="G377" s="11"/>
      <c r="H377" s="11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6.5" customHeight="1" x14ac:dyDescent="0.3">
      <c r="A378" s="10"/>
      <c r="B378" s="14"/>
      <c r="C378" s="10"/>
      <c r="D378" s="10"/>
      <c r="E378" s="10"/>
      <c r="F378" s="10"/>
      <c r="G378" s="11"/>
      <c r="H378" s="11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6.5" customHeight="1" x14ac:dyDescent="0.3">
      <c r="A379" s="10"/>
      <c r="B379" s="14"/>
      <c r="C379" s="10"/>
      <c r="D379" s="10"/>
      <c r="E379" s="10"/>
      <c r="F379" s="10"/>
      <c r="G379" s="11"/>
      <c r="H379" s="11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6.5" customHeight="1" x14ac:dyDescent="0.3">
      <c r="A380" s="10"/>
      <c r="B380" s="14"/>
      <c r="C380" s="10"/>
      <c r="D380" s="10"/>
      <c r="E380" s="10"/>
      <c r="F380" s="10"/>
      <c r="G380" s="11"/>
      <c r="H380" s="11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6.5" customHeight="1" x14ac:dyDescent="0.3">
      <c r="A381" s="10"/>
      <c r="B381" s="14"/>
      <c r="C381" s="10"/>
      <c r="D381" s="10"/>
      <c r="E381" s="10"/>
      <c r="F381" s="10"/>
      <c r="G381" s="11"/>
      <c r="H381" s="11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6.5" customHeight="1" x14ac:dyDescent="0.3">
      <c r="A382" s="10"/>
      <c r="B382" s="14"/>
      <c r="C382" s="10"/>
      <c r="D382" s="10"/>
      <c r="E382" s="10"/>
      <c r="F382" s="10"/>
      <c r="G382" s="11"/>
      <c r="H382" s="11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6.5" customHeight="1" x14ac:dyDescent="0.3">
      <c r="A383" s="10"/>
      <c r="B383" s="14"/>
      <c r="C383" s="10"/>
      <c r="D383" s="10"/>
      <c r="E383" s="10"/>
      <c r="F383" s="10"/>
      <c r="G383" s="11"/>
      <c r="H383" s="11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6.5" customHeight="1" x14ac:dyDescent="0.3">
      <c r="A384" s="10"/>
      <c r="B384" s="14"/>
      <c r="C384" s="10"/>
      <c r="D384" s="10"/>
      <c r="E384" s="10"/>
      <c r="F384" s="10"/>
      <c r="G384" s="11"/>
      <c r="H384" s="11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6.5" customHeight="1" x14ac:dyDescent="0.3">
      <c r="A385" s="10"/>
      <c r="B385" s="14"/>
      <c r="C385" s="10"/>
      <c r="D385" s="10"/>
      <c r="E385" s="10"/>
      <c r="F385" s="10"/>
      <c r="G385" s="11"/>
      <c r="H385" s="11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6.5" customHeight="1" x14ac:dyDescent="0.3">
      <c r="A386" s="10"/>
      <c r="B386" s="14"/>
      <c r="C386" s="10"/>
      <c r="D386" s="10"/>
      <c r="E386" s="10"/>
      <c r="F386" s="10"/>
      <c r="G386" s="11"/>
      <c r="H386" s="11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6.5" customHeight="1" x14ac:dyDescent="0.3">
      <c r="A387" s="10"/>
      <c r="B387" s="14"/>
      <c r="C387" s="10"/>
      <c r="D387" s="10"/>
      <c r="E387" s="10"/>
      <c r="F387" s="10"/>
      <c r="G387" s="11"/>
      <c r="H387" s="11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6.5" customHeight="1" x14ac:dyDescent="0.3">
      <c r="A388" s="10"/>
      <c r="B388" s="14"/>
      <c r="C388" s="10"/>
      <c r="D388" s="10"/>
      <c r="E388" s="10"/>
      <c r="F388" s="10"/>
      <c r="G388" s="11"/>
      <c r="H388" s="11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6.5" customHeight="1" x14ac:dyDescent="0.3">
      <c r="A389" s="10"/>
      <c r="B389" s="14"/>
      <c r="C389" s="10"/>
      <c r="D389" s="10"/>
      <c r="E389" s="10"/>
      <c r="F389" s="10"/>
      <c r="G389" s="11"/>
      <c r="H389" s="11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6.5" customHeight="1" x14ac:dyDescent="0.3">
      <c r="A390" s="10"/>
      <c r="B390" s="14"/>
      <c r="C390" s="10"/>
      <c r="D390" s="10"/>
      <c r="E390" s="10"/>
      <c r="F390" s="10"/>
      <c r="G390" s="11"/>
      <c r="H390" s="11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6.5" customHeight="1" x14ac:dyDescent="0.3">
      <c r="A391" s="10"/>
      <c r="B391" s="14"/>
      <c r="C391" s="10"/>
      <c r="D391" s="10"/>
      <c r="E391" s="10"/>
      <c r="F391" s="10"/>
      <c r="G391" s="11"/>
      <c r="H391" s="11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6.5" customHeight="1" x14ac:dyDescent="0.3">
      <c r="A392" s="10"/>
      <c r="B392" s="14"/>
      <c r="C392" s="10"/>
      <c r="D392" s="10"/>
      <c r="E392" s="10"/>
      <c r="F392" s="10"/>
      <c r="G392" s="11"/>
      <c r="H392" s="11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6.5" customHeight="1" x14ac:dyDescent="0.3">
      <c r="A393" s="10"/>
      <c r="B393" s="14"/>
      <c r="C393" s="10"/>
      <c r="D393" s="10"/>
      <c r="E393" s="10"/>
      <c r="F393" s="10"/>
      <c r="G393" s="11"/>
      <c r="H393" s="11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6.5" customHeight="1" x14ac:dyDescent="0.3">
      <c r="A394" s="10"/>
      <c r="B394" s="14"/>
      <c r="C394" s="10"/>
      <c r="D394" s="10"/>
      <c r="E394" s="10"/>
      <c r="F394" s="10"/>
      <c r="G394" s="11"/>
      <c r="H394" s="11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6.5" customHeight="1" x14ac:dyDescent="0.3">
      <c r="A395" s="10"/>
      <c r="B395" s="14"/>
      <c r="C395" s="10"/>
      <c r="D395" s="10"/>
      <c r="E395" s="10"/>
      <c r="F395" s="10"/>
      <c r="G395" s="11"/>
      <c r="H395" s="11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6.5" customHeight="1" x14ac:dyDescent="0.3">
      <c r="A396" s="10"/>
      <c r="B396" s="14"/>
      <c r="C396" s="10"/>
      <c r="D396" s="10"/>
      <c r="E396" s="10"/>
      <c r="F396" s="10"/>
      <c r="G396" s="11"/>
      <c r="H396" s="11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6.5" customHeight="1" x14ac:dyDescent="0.3">
      <c r="A397" s="10"/>
      <c r="B397" s="14"/>
      <c r="C397" s="10"/>
      <c r="D397" s="10"/>
      <c r="E397" s="10"/>
      <c r="F397" s="10"/>
      <c r="G397" s="11"/>
      <c r="H397" s="11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6.5" customHeight="1" x14ac:dyDescent="0.3">
      <c r="A398" s="10"/>
      <c r="B398" s="14"/>
      <c r="C398" s="10"/>
      <c r="D398" s="10"/>
      <c r="E398" s="10"/>
      <c r="F398" s="10"/>
      <c r="G398" s="11"/>
      <c r="H398" s="11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6.5" customHeight="1" x14ac:dyDescent="0.3">
      <c r="A399" s="10"/>
      <c r="B399" s="14"/>
      <c r="C399" s="10"/>
      <c r="D399" s="10"/>
      <c r="E399" s="10"/>
      <c r="F399" s="10"/>
      <c r="G399" s="11"/>
      <c r="H399" s="11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6.5" customHeight="1" x14ac:dyDescent="0.3">
      <c r="A400" s="10"/>
      <c r="B400" s="14"/>
      <c r="C400" s="10"/>
      <c r="D400" s="10"/>
      <c r="E400" s="10"/>
      <c r="F400" s="10"/>
      <c r="G400" s="11"/>
      <c r="H400" s="11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6.5" customHeight="1" x14ac:dyDescent="0.3">
      <c r="A401" s="10"/>
      <c r="B401" s="14"/>
      <c r="C401" s="10"/>
      <c r="D401" s="10"/>
      <c r="E401" s="10"/>
      <c r="F401" s="10"/>
      <c r="G401" s="11"/>
      <c r="H401" s="11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6.5" customHeight="1" x14ac:dyDescent="0.3">
      <c r="A402" s="10"/>
      <c r="B402" s="14"/>
      <c r="C402" s="10"/>
      <c r="D402" s="10"/>
      <c r="E402" s="10"/>
      <c r="F402" s="10"/>
      <c r="G402" s="11"/>
      <c r="H402" s="11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6.5" customHeight="1" x14ac:dyDescent="0.3">
      <c r="A403" s="10"/>
      <c r="B403" s="14"/>
      <c r="C403" s="10"/>
      <c r="D403" s="10"/>
      <c r="E403" s="10"/>
      <c r="F403" s="10"/>
      <c r="G403" s="11"/>
      <c r="H403" s="11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6.5" customHeight="1" x14ac:dyDescent="0.3">
      <c r="A404" s="10"/>
      <c r="B404" s="14"/>
      <c r="C404" s="10"/>
      <c r="D404" s="10"/>
      <c r="E404" s="10"/>
      <c r="F404" s="10"/>
      <c r="G404" s="11"/>
      <c r="H404" s="11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6.5" customHeight="1" x14ac:dyDescent="0.3">
      <c r="A405" s="10"/>
      <c r="B405" s="14"/>
      <c r="C405" s="10"/>
      <c r="D405" s="10"/>
      <c r="E405" s="10"/>
      <c r="F405" s="10"/>
      <c r="G405" s="11"/>
      <c r="H405" s="11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6.5" customHeight="1" x14ac:dyDescent="0.3">
      <c r="A406" s="10"/>
      <c r="B406" s="14"/>
      <c r="C406" s="10"/>
      <c r="D406" s="10"/>
      <c r="E406" s="10"/>
      <c r="F406" s="10"/>
      <c r="G406" s="11"/>
      <c r="H406" s="11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6.5" customHeight="1" x14ac:dyDescent="0.3">
      <c r="A407" s="10"/>
      <c r="B407" s="14"/>
      <c r="C407" s="10"/>
      <c r="D407" s="10"/>
      <c r="E407" s="10"/>
      <c r="F407" s="10"/>
      <c r="G407" s="11"/>
      <c r="H407" s="11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6.5" customHeight="1" x14ac:dyDescent="0.3">
      <c r="A408" s="10"/>
      <c r="B408" s="14"/>
      <c r="C408" s="10"/>
      <c r="D408" s="10"/>
      <c r="E408" s="10"/>
      <c r="F408" s="10"/>
      <c r="G408" s="11"/>
      <c r="H408" s="11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6.5" customHeight="1" x14ac:dyDescent="0.3">
      <c r="A409" s="10"/>
      <c r="B409" s="14"/>
      <c r="C409" s="10"/>
      <c r="D409" s="10"/>
      <c r="E409" s="10"/>
      <c r="F409" s="10"/>
      <c r="G409" s="11"/>
      <c r="H409" s="11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6.5" customHeight="1" x14ac:dyDescent="0.3">
      <c r="A410" s="10"/>
      <c r="B410" s="14"/>
      <c r="C410" s="10"/>
      <c r="D410" s="10"/>
      <c r="E410" s="10"/>
      <c r="F410" s="10"/>
      <c r="G410" s="11"/>
      <c r="H410" s="11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6.5" customHeight="1" x14ac:dyDescent="0.3">
      <c r="A411" s="10"/>
      <c r="B411" s="14"/>
      <c r="C411" s="10"/>
      <c r="D411" s="10"/>
      <c r="E411" s="10"/>
      <c r="F411" s="10"/>
      <c r="G411" s="11"/>
      <c r="H411" s="11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6.5" customHeight="1" x14ac:dyDescent="0.3">
      <c r="A412" s="10"/>
      <c r="B412" s="14"/>
      <c r="C412" s="10"/>
      <c r="D412" s="10"/>
      <c r="E412" s="10"/>
      <c r="F412" s="10"/>
      <c r="G412" s="11"/>
      <c r="H412" s="11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6.5" customHeight="1" x14ac:dyDescent="0.3">
      <c r="A413" s="10"/>
      <c r="B413" s="14"/>
      <c r="C413" s="10"/>
      <c r="D413" s="10"/>
      <c r="E413" s="10"/>
      <c r="F413" s="10"/>
      <c r="G413" s="11"/>
      <c r="H413" s="11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6.5" customHeight="1" x14ac:dyDescent="0.3">
      <c r="A414" s="10"/>
      <c r="B414" s="14"/>
      <c r="C414" s="10"/>
      <c r="D414" s="10"/>
      <c r="E414" s="10"/>
      <c r="F414" s="10"/>
      <c r="G414" s="11"/>
      <c r="H414" s="11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6.5" customHeight="1" x14ac:dyDescent="0.3">
      <c r="A415" s="10"/>
      <c r="B415" s="14"/>
      <c r="C415" s="10"/>
      <c r="D415" s="10"/>
      <c r="E415" s="10"/>
      <c r="F415" s="10"/>
      <c r="G415" s="11"/>
      <c r="H415" s="11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6.5" customHeight="1" x14ac:dyDescent="0.3">
      <c r="A416" s="10"/>
      <c r="B416" s="14"/>
      <c r="C416" s="10"/>
      <c r="D416" s="10"/>
      <c r="E416" s="10"/>
      <c r="F416" s="10"/>
      <c r="G416" s="11"/>
      <c r="H416" s="11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6.5" customHeight="1" x14ac:dyDescent="0.3">
      <c r="A417" s="10"/>
      <c r="B417" s="14"/>
      <c r="C417" s="10"/>
      <c r="D417" s="10"/>
      <c r="E417" s="10"/>
      <c r="F417" s="10"/>
      <c r="G417" s="11"/>
      <c r="H417" s="11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6.5" customHeight="1" x14ac:dyDescent="0.3">
      <c r="A418" s="10"/>
      <c r="B418" s="14"/>
      <c r="C418" s="10"/>
      <c r="D418" s="10"/>
      <c r="E418" s="10"/>
      <c r="F418" s="10"/>
      <c r="G418" s="11"/>
      <c r="H418" s="11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6.5" customHeight="1" x14ac:dyDescent="0.3">
      <c r="A419" s="10"/>
      <c r="B419" s="14"/>
      <c r="C419" s="10"/>
      <c r="D419" s="10"/>
      <c r="E419" s="10"/>
      <c r="F419" s="10"/>
      <c r="G419" s="11"/>
      <c r="H419" s="11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6.5" customHeight="1" x14ac:dyDescent="0.3">
      <c r="A420" s="10"/>
      <c r="B420" s="14"/>
      <c r="C420" s="10"/>
      <c r="D420" s="10"/>
      <c r="E420" s="10"/>
      <c r="F420" s="10"/>
      <c r="G420" s="11"/>
      <c r="H420" s="11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6.5" customHeight="1" x14ac:dyDescent="0.3">
      <c r="A421" s="10"/>
      <c r="B421" s="14"/>
      <c r="C421" s="10"/>
      <c r="D421" s="10"/>
      <c r="E421" s="10"/>
      <c r="F421" s="10"/>
      <c r="G421" s="11"/>
      <c r="H421" s="11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6.5" customHeight="1" x14ac:dyDescent="0.3">
      <c r="A422" s="10"/>
      <c r="B422" s="14"/>
      <c r="C422" s="10"/>
      <c r="D422" s="10"/>
      <c r="E422" s="10"/>
      <c r="F422" s="10"/>
      <c r="G422" s="11"/>
      <c r="H422" s="11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6.5" customHeight="1" x14ac:dyDescent="0.3">
      <c r="A423" s="10"/>
      <c r="B423" s="14"/>
      <c r="C423" s="10"/>
      <c r="D423" s="10"/>
      <c r="E423" s="10"/>
      <c r="F423" s="10"/>
      <c r="G423" s="11"/>
      <c r="H423" s="11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6.5" customHeight="1" x14ac:dyDescent="0.3">
      <c r="A424" s="10"/>
      <c r="B424" s="14"/>
      <c r="C424" s="10"/>
      <c r="D424" s="10"/>
      <c r="E424" s="10"/>
      <c r="F424" s="10"/>
      <c r="G424" s="11"/>
      <c r="H424" s="11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6.5" customHeight="1" x14ac:dyDescent="0.3">
      <c r="A425" s="10"/>
      <c r="B425" s="14"/>
      <c r="C425" s="10"/>
      <c r="D425" s="10"/>
      <c r="E425" s="10"/>
      <c r="F425" s="10"/>
      <c r="G425" s="11"/>
      <c r="H425" s="11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6.5" customHeight="1" x14ac:dyDescent="0.3">
      <c r="A426" s="10"/>
      <c r="B426" s="14"/>
      <c r="C426" s="10"/>
      <c r="D426" s="10"/>
      <c r="E426" s="10"/>
      <c r="F426" s="10"/>
      <c r="G426" s="11"/>
      <c r="H426" s="11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6.5" customHeight="1" x14ac:dyDescent="0.3">
      <c r="A427" s="10"/>
      <c r="B427" s="14"/>
      <c r="C427" s="10"/>
      <c r="D427" s="10"/>
      <c r="E427" s="10"/>
      <c r="F427" s="10"/>
      <c r="G427" s="11"/>
      <c r="H427" s="11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6.5" customHeight="1" x14ac:dyDescent="0.3">
      <c r="A428" s="10"/>
      <c r="B428" s="14"/>
      <c r="C428" s="10"/>
      <c r="D428" s="10"/>
      <c r="E428" s="10"/>
      <c r="F428" s="10"/>
      <c r="G428" s="11"/>
      <c r="H428" s="11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6.5" customHeight="1" x14ac:dyDescent="0.3">
      <c r="A429" s="10"/>
      <c r="B429" s="14"/>
      <c r="C429" s="10"/>
      <c r="D429" s="10"/>
      <c r="E429" s="10"/>
      <c r="F429" s="10"/>
      <c r="G429" s="11"/>
      <c r="H429" s="11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6.5" customHeight="1" x14ac:dyDescent="0.3">
      <c r="A430" s="10"/>
      <c r="B430" s="14"/>
      <c r="C430" s="10"/>
      <c r="D430" s="10"/>
      <c r="E430" s="10"/>
      <c r="F430" s="10"/>
      <c r="G430" s="11"/>
      <c r="H430" s="11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6.5" customHeight="1" x14ac:dyDescent="0.3">
      <c r="A431" s="10"/>
      <c r="B431" s="14"/>
      <c r="C431" s="10"/>
      <c r="D431" s="10"/>
      <c r="E431" s="10"/>
      <c r="F431" s="10"/>
      <c r="G431" s="11"/>
      <c r="H431" s="11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6.5" customHeight="1" x14ac:dyDescent="0.3">
      <c r="A432" s="10"/>
      <c r="B432" s="14"/>
      <c r="C432" s="10"/>
      <c r="D432" s="10"/>
      <c r="E432" s="10"/>
      <c r="F432" s="10"/>
      <c r="G432" s="11"/>
      <c r="H432" s="11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6.5" customHeight="1" x14ac:dyDescent="0.3">
      <c r="A433" s="10"/>
      <c r="B433" s="14"/>
      <c r="C433" s="10"/>
      <c r="D433" s="10"/>
      <c r="E433" s="10"/>
      <c r="F433" s="10"/>
      <c r="G433" s="11"/>
      <c r="H433" s="11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6.5" customHeight="1" x14ac:dyDescent="0.3">
      <c r="A434" s="10"/>
      <c r="B434" s="14"/>
      <c r="C434" s="10"/>
      <c r="D434" s="10"/>
      <c r="E434" s="10"/>
      <c r="F434" s="10"/>
      <c r="G434" s="11"/>
      <c r="H434" s="11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6.5" customHeight="1" x14ac:dyDescent="0.3">
      <c r="A435" s="10"/>
      <c r="B435" s="14"/>
      <c r="C435" s="10"/>
      <c r="D435" s="10"/>
      <c r="E435" s="10"/>
      <c r="F435" s="10"/>
      <c r="G435" s="11"/>
      <c r="H435" s="11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6.5" customHeight="1" x14ac:dyDescent="0.3">
      <c r="A436" s="10"/>
      <c r="B436" s="14"/>
      <c r="C436" s="10"/>
      <c r="D436" s="10"/>
      <c r="E436" s="10"/>
      <c r="F436" s="10"/>
      <c r="G436" s="11"/>
      <c r="H436" s="11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6.5" customHeight="1" x14ac:dyDescent="0.3">
      <c r="A437" s="10"/>
      <c r="B437" s="14"/>
      <c r="C437" s="10"/>
      <c r="D437" s="10"/>
      <c r="E437" s="10"/>
      <c r="F437" s="10"/>
      <c r="G437" s="11"/>
      <c r="H437" s="11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6.5" customHeight="1" x14ac:dyDescent="0.3">
      <c r="A438" s="10"/>
      <c r="B438" s="14"/>
      <c r="C438" s="10"/>
      <c r="D438" s="10"/>
      <c r="E438" s="10"/>
      <c r="F438" s="10"/>
      <c r="G438" s="11"/>
      <c r="H438" s="11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6.5" customHeight="1" x14ac:dyDescent="0.3">
      <c r="A439" s="10"/>
      <c r="B439" s="14"/>
      <c r="C439" s="10"/>
      <c r="D439" s="10"/>
      <c r="E439" s="10"/>
      <c r="F439" s="10"/>
      <c r="G439" s="11"/>
      <c r="H439" s="11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6.5" customHeight="1" x14ac:dyDescent="0.3">
      <c r="A440" s="10"/>
      <c r="B440" s="14"/>
      <c r="C440" s="10"/>
      <c r="D440" s="10"/>
      <c r="E440" s="10"/>
      <c r="F440" s="10"/>
      <c r="G440" s="11"/>
      <c r="H440" s="11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6.5" customHeight="1" x14ac:dyDescent="0.3">
      <c r="A441" s="10"/>
      <c r="B441" s="14"/>
      <c r="C441" s="10"/>
      <c r="D441" s="10"/>
      <c r="E441" s="10"/>
      <c r="F441" s="10"/>
      <c r="G441" s="11"/>
      <c r="H441" s="11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6.5" customHeight="1" x14ac:dyDescent="0.3">
      <c r="A442" s="10"/>
      <c r="B442" s="14"/>
      <c r="C442" s="10"/>
      <c r="D442" s="10"/>
      <c r="E442" s="10"/>
      <c r="F442" s="10"/>
      <c r="G442" s="11"/>
      <c r="H442" s="11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6.5" customHeight="1" x14ac:dyDescent="0.3">
      <c r="A443" s="10"/>
      <c r="B443" s="14"/>
      <c r="C443" s="10"/>
      <c r="D443" s="10"/>
      <c r="E443" s="10"/>
      <c r="F443" s="10"/>
      <c r="G443" s="11"/>
      <c r="H443" s="11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6.5" customHeight="1" x14ac:dyDescent="0.3">
      <c r="A444" s="10"/>
      <c r="B444" s="14"/>
      <c r="C444" s="10"/>
      <c r="D444" s="10"/>
      <c r="E444" s="10"/>
      <c r="F444" s="10"/>
      <c r="G444" s="11"/>
      <c r="H444" s="11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6.5" customHeight="1" x14ac:dyDescent="0.3">
      <c r="A445" s="10"/>
      <c r="B445" s="14"/>
      <c r="C445" s="10"/>
      <c r="D445" s="10"/>
      <c r="E445" s="10"/>
      <c r="F445" s="10"/>
      <c r="G445" s="11"/>
      <c r="H445" s="11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6.5" customHeight="1" x14ac:dyDescent="0.3">
      <c r="A446" s="10"/>
      <c r="B446" s="14"/>
      <c r="C446" s="10"/>
      <c r="D446" s="10"/>
      <c r="E446" s="10"/>
      <c r="F446" s="10"/>
      <c r="G446" s="11"/>
      <c r="H446" s="11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6.5" customHeight="1" x14ac:dyDescent="0.3">
      <c r="A447" s="10"/>
      <c r="B447" s="14"/>
      <c r="C447" s="10"/>
      <c r="D447" s="10"/>
      <c r="E447" s="10"/>
      <c r="F447" s="10"/>
      <c r="G447" s="11"/>
      <c r="H447" s="11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6.5" customHeight="1" x14ac:dyDescent="0.3">
      <c r="A448" s="10"/>
      <c r="B448" s="14"/>
      <c r="C448" s="10"/>
      <c r="D448" s="10"/>
      <c r="E448" s="10"/>
      <c r="F448" s="10"/>
      <c r="G448" s="11"/>
      <c r="H448" s="11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6.5" customHeight="1" x14ac:dyDescent="0.3">
      <c r="A449" s="10"/>
      <c r="B449" s="14"/>
      <c r="C449" s="10"/>
      <c r="D449" s="10"/>
      <c r="E449" s="10"/>
      <c r="F449" s="10"/>
      <c r="G449" s="11"/>
      <c r="H449" s="11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6.5" customHeight="1" x14ac:dyDescent="0.3">
      <c r="A450" s="10"/>
      <c r="B450" s="14"/>
      <c r="C450" s="10"/>
      <c r="D450" s="10"/>
      <c r="E450" s="10"/>
      <c r="F450" s="10"/>
      <c r="G450" s="11"/>
      <c r="H450" s="11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6.5" customHeight="1" x14ac:dyDescent="0.3">
      <c r="A451" s="10"/>
      <c r="B451" s="14"/>
      <c r="C451" s="10"/>
      <c r="D451" s="10"/>
      <c r="E451" s="10"/>
      <c r="F451" s="10"/>
      <c r="G451" s="11"/>
      <c r="H451" s="11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6.5" customHeight="1" x14ac:dyDescent="0.3">
      <c r="A452" s="10"/>
      <c r="B452" s="14"/>
      <c r="C452" s="10"/>
      <c r="D452" s="10"/>
      <c r="E452" s="10"/>
      <c r="F452" s="10"/>
      <c r="G452" s="11"/>
      <c r="H452" s="11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6.5" customHeight="1" x14ac:dyDescent="0.3">
      <c r="A453" s="10"/>
      <c r="B453" s="14"/>
      <c r="C453" s="10"/>
      <c r="D453" s="10"/>
      <c r="E453" s="10"/>
      <c r="F453" s="10"/>
      <c r="G453" s="11"/>
      <c r="H453" s="11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6.5" customHeight="1" x14ac:dyDescent="0.3">
      <c r="A454" s="10"/>
      <c r="B454" s="14"/>
      <c r="C454" s="10"/>
      <c r="D454" s="10"/>
      <c r="E454" s="10"/>
      <c r="F454" s="10"/>
      <c r="G454" s="11"/>
      <c r="H454" s="11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6.5" customHeight="1" x14ac:dyDescent="0.3">
      <c r="A455" s="10"/>
      <c r="B455" s="14"/>
      <c r="C455" s="10"/>
      <c r="D455" s="10"/>
      <c r="E455" s="10"/>
      <c r="F455" s="10"/>
      <c r="G455" s="11"/>
      <c r="H455" s="11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6.5" customHeight="1" x14ac:dyDescent="0.3">
      <c r="A456" s="10"/>
      <c r="B456" s="14"/>
      <c r="C456" s="10"/>
      <c r="D456" s="10"/>
      <c r="E456" s="10"/>
      <c r="F456" s="10"/>
      <c r="G456" s="11"/>
      <c r="H456" s="11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6.5" customHeight="1" x14ac:dyDescent="0.3">
      <c r="A457" s="10"/>
      <c r="B457" s="14"/>
      <c r="C457" s="10"/>
      <c r="D457" s="10"/>
      <c r="E457" s="10"/>
      <c r="F457" s="10"/>
      <c r="G457" s="11"/>
      <c r="H457" s="11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6.5" customHeight="1" x14ac:dyDescent="0.3">
      <c r="A458" s="10"/>
      <c r="B458" s="14"/>
      <c r="C458" s="10"/>
      <c r="D458" s="10"/>
      <c r="E458" s="10"/>
      <c r="F458" s="10"/>
      <c r="G458" s="11"/>
      <c r="H458" s="11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6.5" customHeight="1" x14ac:dyDescent="0.3">
      <c r="A459" s="10"/>
      <c r="B459" s="14"/>
      <c r="C459" s="10"/>
      <c r="D459" s="10"/>
      <c r="E459" s="10"/>
      <c r="F459" s="10"/>
      <c r="G459" s="11"/>
      <c r="H459" s="11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6.5" customHeight="1" x14ac:dyDescent="0.3">
      <c r="A460" s="10"/>
      <c r="B460" s="14"/>
      <c r="C460" s="10"/>
      <c r="D460" s="10"/>
      <c r="E460" s="10"/>
      <c r="F460" s="10"/>
      <c r="G460" s="11"/>
      <c r="H460" s="11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6.5" customHeight="1" x14ac:dyDescent="0.3">
      <c r="A461" s="10"/>
      <c r="B461" s="14"/>
      <c r="C461" s="10"/>
      <c r="D461" s="10"/>
      <c r="E461" s="10"/>
      <c r="F461" s="10"/>
      <c r="G461" s="11"/>
      <c r="H461" s="11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6.5" customHeight="1" x14ac:dyDescent="0.3">
      <c r="A462" s="10"/>
      <c r="B462" s="14"/>
      <c r="C462" s="10"/>
      <c r="D462" s="10"/>
      <c r="E462" s="10"/>
      <c r="F462" s="10"/>
      <c r="G462" s="11"/>
      <c r="H462" s="11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6.5" customHeight="1" x14ac:dyDescent="0.3">
      <c r="A463" s="10"/>
      <c r="B463" s="14"/>
      <c r="C463" s="10"/>
      <c r="D463" s="10"/>
      <c r="E463" s="10"/>
      <c r="F463" s="10"/>
      <c r="G463" s="11"/>
      <c r="H463" s="11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6.5" customHeight="1" x14ac:dyDescent="0.3">
      <c r="A464" s="10"/>
      <c r="B464" s="14"/>
      <c r="C464" s="10"/>
      <c r="D464" s="10"/>
      <c r="E464" s="10"/>
      <c r="F464" s="10"/>
      <c r="G464" s="11"/>
      <c r="H464" s="11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6.5" customHeight="1" x14ac:dyDescent="0.3">
      <c r="A465" s="10"/>
      <c r="B465" s="14"/>
      <c r="C465" s="10"/>
      <c r="D465" s="10"/>
      <c r="E465" s="10"/>
      <c r="F465" s="10"/>
      <c r="G465" s="11"/>
      <c r="H465" s="11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6.5" customHeight="1" x14ac:dyDescent="0.3">
      <c r="A466" s="10"/>
      <c r="B466" s="14"/>
      <c r="C466" s="10"/>
      <c r="D466" s="10"/>
      <c r="E466" s="10"/>
      <c r="F466" s="10"/>
      <c r="G466" s="11"/>
      <c r="H466" s="11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6.5" customHeight="1" x14ac:dyDescent="0.3">
      <c r="A467" s="10"/>
      <c r="B467" s="14"/>
      <c r="C467" s="10"/>
      <c r="D467" s="10"/>
      <c r="E467" s="10"/>
      <c r="F467" s="10"/>
      <c r="G467" s="11"/>
      <c r="H467" s="11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6.5" customHeight="1" x14ac:dyDescent="0.3">
      <c r="A468" s="10"/>
      <c r="B468" s="14"/>
      <c r="C468" s="10"/>
      <c r="D468" s="10"/>
      <c r="E468" s="10"/>
      <c r="F468" s="10"/>
      <c r="G468" s="11"/>
      <c r="H468" s="11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6.5" customHeight="1" x14ac:dyDescent="0.3">
      <c r="A469" s="10"/>
      <c r="B469" s="14"/>
      <c r="C469" s="10"/>
      <c r="D469" s="10"/>
      <c r="E469" s="10"/>
      <c r="F469" s="10"/>
      <c r="G469" s="11"/>
      <c r="H469" s="11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6.5" customHeight="1" x14ac:dyDescent="0.3">
      <c r="A470" s="10"/>
      <c r="B470" s="14"/>
      <c r="C470" s="10"/>
      <c r="D470" s="10"/>
      <c r="E470" s="10"/>
      <c r="F470" s="10"/>
      <c r="G470" s="11"/>
      <c r="H470" s="11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6.5" customHeight="1" x14ac:dyDescent="0.3">
      <c r="A471" s="10"/>
      <c r="B471" s="14"/>
      <c r="C471" s="10"/>
      <c r="D471" s="10"/>
      <c r="E471" s="10"/>
      <c r="F471" s="10"/>
      <c r="G471" s="11"/>
      <c r="H471" s="11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6.5" customHeight="1" x14ac:dyDescent="0.3">
      <c r="A472" s="10"/>
      <c r="B472" s="14"/>
      <c r="C472" s="10"/>
      <c r="D472" s="10"/>
      <c r="E472" s="10"/>
      <c r="F472" s="10"/>
      <c r="G472" s="11"/>
      <c r="H472" s="11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6.5" customHeight="1" x14ac:dyDescent="0.3">
      <c r="A473" s="10"/>
      <c r="B473" s="14"/>
      <c r="C473" s="10"/>
      <c r="D473" s="10"/>
      <c r="E473" s="10"/>
      <c r="F473" s="10"/>
      <c r="G473" s="11"/>
      <c r="H473" s="11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6.5" customHeight="1" x14ac:dyDescent="0.3">
      <c r="A474" s="10"/>
      <c r="B474" s="14"/>
      <c r="C474" s="10"/>
      <c r="D474" s="10"/>
      <c r="E474" s="10"/>
      <c r="F474" s="10"/>
      <c r="G474" s="11"/>
      <c r="H474" s="11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6.5" customHeight="1" x14ac:dyDescent="0.3">
      <c r="A475" s="10"/>
      <c r="B475" s="14"/>
      <c r="C475" s="10"/>
      <c r="D475" s="10"/>
      <c r="E475" s="10"/>
      <c r="F475" s="10"/>
      <c r="G475" s="11"/>
      <c r="H475" s="11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6.5" customHeight="1" x14ac:dyDescent="0.3">
      <c r="A476" s="10"/>
      <c r="B476" s="14"/>
      <c r="C476" s="10"/>
      <c r="D476" s="10"/>
      <c r="E476" s="10"/>
      <c r="F476" s="10"/>
      <c r="G476" s="11"/>
      <c r="H476" s="11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6.5" customHeight="1" x14ac:dyDescent="0.3">
      <c r="A477" s="10"/>
      <c r="B477" s="14"/>
      <c r="C477" s="10"/>
      <c r="D477" s="10"/>
      <c r="E477" s="10"/>
      <c r="F477" s="10"/>
      <c r="G477" s="11"/>
      <c r="H477" s="11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6.5" customHeight="1" x14ac:dyDescent="0.3">
      <c r="A478" s="10"/>
      <c r="B478" s="14"/>
      <c r="C478" s="10"/>
      <c r="D478" s="10"/>
      <c r="E478" s="10"/>
      <c r="F478" s="10"/>
      <c r="G478" s="11"/>
      <c r="H478" s="11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6.5" customHeight="1" x14ac:dyDescent="0.3">
      <c r="A479" s="10"/>
      <c r="B479" s="14"/>
      <c r="C479" s="10"/>
      <c r="D479" s="10"/>
      <c r="E479" s="10"/>
      <c r="F479" s="10"/>
      <c r="G479" s="11"/>
      <c r="H479" s="11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6.5" customHeight="1" x14ac:dyDescent="0.3">
      <c r="A480" s="10"/>
      <c r="B480" s="14"/>
      <c r="C480" s="10"/>
      <c r="D480" s="10"/>
      <c r="E480" s="10"/>
      <c r="F480" s="10"/>
      <c r="G480" s="11"/>
      <c r="H480" s="11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6.5" customHeight="1" x14ac:dyDescent="0.3">
      <c r="A481" s="10"/>
      <c r="B481" s="14"/>
      <c r="C481" s="10"/>
      <c r="D481" s="10"/>
      <c r="E481" s="10"/>
      <c r="F481" s="10"/>
      <c r="G481" s="11"/>
      <c r="H481" s="11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6.5" customHeight="1" x14ac:dyDescent="0.3">
      <c r="A482" s="10"/>
      <c r="B482" s="14"/>
      <c r="C482" s="10"/>
      <c r="D482" s="10"/>
      <c r="E482" s="10"/>
      <c r="F482" s="10"/>
      <c r="G482" s="11"/>
      <c r="H482" s="11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6.5" customHeight="1" x14ac:dyDescent="0.3">
      <c r="A483" s="10"/>
      <c r="B483" s="14"/>
      <c r="C483" s="10"/>
      <c r="D483" s="10"/>
      <c r="E483" s="10"/>
      <c r="F483" s="10"/>
      <c r="G483" s="11"/>
      <c r="H483" s="11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6.5" customHeight="1" x14ac:dyDescent="0.3">
      <c r="A484" s="10"/>
      <c r="B484" s="14"/>
      <c r="C484" s="10"/>
      <c r="D484" s="10"/>
      <c r="E484" s="10"/>
      <c r="F484" s="10"/>
      <c r="G484" s="11"/>
      <c r="H484" s="11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6.5" customHeight="1" x14ac:dyDescent="0.3">
      <c r="A485" s="10"/>
      <c r="B485" s="14"/>
      <c r="C485" s="10"/>
      <c r="D485" s="10"/>
      <c r="E485" s="10"/>
      <c r="F485" s="10"/>
      <c r="G485" s="11"/>
      <c r="H485" s="11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6.5" customHeight="1" x14ac:dyDescent="0.3">
      <c r="A486" s="10"/>
      <c r="B486" s="14"/>
      <c r="C486" s="10"/>
      <c r="D486" s="10"/>
      <c r="E486" s="10"/>
      <c r="F486" s="10"/>
      <c r="G486" s="11"/>
      <c r="H486" s="11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6.5" customHeight="1" x14ac:dyDescent="0.3">
      <c r="A487" s="10"/>
      <c r="B487" s="14"/>
      <c r="C487" s="10"/>
      <c r="D487" s="10"/>
      <c r="E487" s="10"/>
      <c r="F487" s="10"/>
      <c r="G487" s="11"/>
      <c r="H487" s="11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6.5" customHeight="1" x14ac:dyDescent="0.3">
      <c r="A488" s="10"/>
      <c r="B488" s="14"/>
      <c r="C488" s="10"/>
      <c r="D488" s="10"/>
      <c r="E488" s="10"/>
      <c r="F488" s="10"/>
      <c r="G488" s="11"/>
      <c r="H488" s="11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6.5" customHeight="1" x14ac:dyDescent="0.3">
      <c r="A489" s="10"/>
      <c r="B489" s="14"/>
      <c r="C489" s="10"/>
      <c r="D489" s="10"/>
      <c r="E489" s="10"/>
      <c r="F489" s="10"/>
      <c r="G489" s="11"/>
      <c r="H489" s="11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6.5" customHeight="1" x14ac:dyDescent="0.3">
      <c r="A490" s="10"/>
      <c r="B490" s="14"/>
      <c r="C490" s="10"/>
      <c r="D490" s="10"/>
      <c r="E490" s="10"/>
      <c r="F490" s="10"/>
      <c r="G490" s="11"/>
      <c r="H490" s="11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6.5" customHeight="1" x14ac:dyDescent="0.3">
      <c r="A491" s="10"/>
      <c r="B491" s="14"/>
      <c r="C491" s="10"/>
      <c r="D491" s="10"/>
      <c r="E491" s="10"/>
      <c r="F491" s="10"/>
      <c r="G491" s="11"/>
      <c r="H491" s="11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6.5" customHeight="1" x14ac:dyDescent="0.3">
      <c r="A492" s="10"/>
      <c r="B492" s="14"/>
      <c r="C492" s="10"/>
      <c r="D492" s="10"/>
      <c r="E492" s="10"/>
      <c r="F492" s="10"/>
      <c r="G492" s="11"/>
      <c r="H492" s="11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6.5" customHeight="1" x14ac:dyDescent="0.3">
      <c r="A493" s="10"/>
      <c r="B493" s="14"/>
      <c r="C493" s="10"/>
      <c r="D493" s="10"/>
      <c r="E493" s="10"/>
      <c r="F493" s="10"/>
      <c r="G493" s="11"/>
      <c r="H493" s="11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6.5" customHeight="1" x14ac:dyDescent="0.3">
      <c r="A494" s="10"/>
      <c r="B494" s="14"/>
      <c r="C494" s="10"/>
      <c r="D494" s="10"/>
      <c r="E494" s="10"/>
      <c r="F494" s="10"/>
      <c r="G494" s="11"/>
      <c r="H494" s="11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6.5" customHeight="1" x14ac:dyDescent="0.3">
      <c r="A495" s="10"/>
      <c r="B495" s="14"/>
      <c r="C495" s="10"/>
      <c r="D495" s="10"/>
      <c r="E495" s="10"/>
      <c r="F495" s="10"/>
      <c r="G495" s="11"/>
      <c r="H495" s="11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6.5" customHeight="1" x14ac:dyDescent="0.3">
      <c r="A496" s="10"/>
      <c r="B496" s="14"/>
      <c r="C496" s="10"/>
      <c r="D496" s="10"/>
      <c r="E496" s="10"/>
      <c r="F496" s="10"/>
      <c r="G496" s="11"/>
      <c r="H496" s="11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6.5" customHeight="1" x14ac:dyDescent="0.3">
      <c r="A497" s="10"/>
      <c r="B497" s="14"/>
      <c r="C497" s="10"/>
      <c r="D497" s="10"/>
      <c r="E497" s="10"/>
      <c r="F497" s="10"/>
      <c r="G497" s="11"/>
      <c r="H497" s="11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6.5" customHeight="1" x14ac:dyDescent="0.3">
      <c r="A498" s="10"/>
      <c r="B498" s="14"/>
      <c r="C498" s="10"/>
      <c r="D498" s="10"/>
      <c r="E498" s="10"/>
      <c r="F498" s="10"/>
      <c r="G498" s="11"/>
      <c r="H498" s="11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6.5" customHeight="1" x14ac:dyDescent="0.3">
      <c r="A499" s="10"/>
      <c r="B499" s="14"/>
      <c r="C499" s="10"/>
      <c r="D499" s="10"/>
      <c r="E499" s="10"/>
      <c r="F499" s="10"/>
      <c r="G499" s="11"/>
      <c r="H499" s="11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6.5" customHeight="1" x14ac:dyDescent="0.3">
      <c r="A500" s="10"/>
      <c r="B500" s="14"/>
      <c r="C500" s="10"/>
      <c r="D500" s="10"/>
      <c r="E500" s="10"/>
      <c r="F500" s="10"/>
      <c r="G500" s="11"/>
      <c r="H500" s="11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6.5" customHeight="1" x14ac:dyDescent="0.3">
      <c r="A501" s="10"/>
      <c r="B501" s="14"/>
      <c r="C501" s="10"/>
      <c r="D501" s="10"/>
      <c r="E501" s="10"/>
      <c r="F501" s="10"/>
      <c r="G501" s="11"/>
      <c r="H501" s="11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6.5" customHeight="1" x14ac:dyDescent="0.3">
      <c r="A502" s="10"/>
      <c r="B502" s="14"/>
      <c r="C502" s="10"/>
      <c r="D502" s="10"/>
      <c r="E502" s="10"/>
      <c r="F502" s="10"/>
      <c r="G502" s="11"/>
      <c r="H502" s="11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6.5" customHeight="1" x14ac:dyDescent="0.3">
      <c r="A503" s="10"/>
      <c r="B503" s="14"/>
      <c r="C503" s="10"/>
      <c r="D503" s="10"/>
      <c r="E503" s="10"/>
      <c r="F503" s="10"/>
      <c r="G503" s="11"/>
      <c r="H503" s="11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6.5" customHeight="1" x14ac:dyDescent="0.3">
      <c r="A504" s="10"/>
      <c r="B504" s="14"/>
      <c r="C504" s="10"/>
      <c r="D504" s="10"/>
      <c r="E504" s="10"/>
      <c r="F504" s="10"/>
      <c r="G504" s="11"/>
      <c r="H504" s="11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6.5" customHeight="1" x14ac:dyDescent="0.3">
      <c r="A505" s="10"/>
      <c r="B505" s="14"/>
      <c r="C505" s="10"/>
      <c r="D505" s="10"/>
      <c r="E505" s="10"/>
      <c r="F505" s="10"/>
      <c r="G505" s="11"/>
      <c r="H505" s="11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6.5" customHeight="1" x14ac:dyDescent="0.3">
      <c r="A506" s="10"/>
      <c r="B506" s="14"/>
      <c r="C506" s="10"/>
      <c r="D506" s="10"/>
      <c r="E506" s="10"/>
      <c r="F506" s="10"/>
      <c r="G506" s="11"/>
      <c r="H506" s="11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6.5" customHeight="1" x14ac:dyDescent="0.3">
      <c r="A507" s="10"/>
      <c r="B507" s="14"/>
      <c r="C507" s="10"/>
      <c r="D507" s="10"/>
      <c r="E507" s="10"/>
      <c r="F507" s="10"/>
      <c r="G507" s="11"/>
      <c r="H507" s="11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6.5" customHeight="1" x14ac:dyDescent="0.3">
      <c r="A508" s="10"/>
      <c r="B508" s="14"/>
      <c r="C508" s="10"/>
      <c r="D508" s="10"/>
      <c r="E508" s="10"/>
      <c r="F508" s="10"/>
      <c r="G508" s="11"/>
      <c r="H508" s="11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6.5" customHeight="1" x14ac:dyDescent="0.3">
      <c r="A509" s="10"/>
      <c r="B509" s="14"/>
      <c r="C509" s="10"/>
      <c r="D509" s="10"/>
      <c r="E509" s="10"/>
      <c r="F509" s="10"/>
      <c r="G509" s="11"/>
      <c r="H509" s="11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6.5" customHeight="1" x14ac:dyDescent="0.3">
      <c r="A510" s="10"/>
      <c r="B510" s="14"/>
      <c r="C510" s="10"/>
      <c r="D510" s="10"/>
      <c r="E510" s="10"/>
      <c r="F510" s="10"/>
      <c r="G510" s="11"/>
      <c r="H510" s="11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6.5" customHeight="1" x14ac:dyDescent="0.3">
      <c r="A511" s="10"/>
      <c r="B511" s="14"/>
      <c r="C511" s="10"/>
      <c r="D511" s="10"/>
      <c r="E511" s="10"/>
      <c r="F511" s="10"/>
      <c r="G511" s="11"/>
      <c r="H511" s="11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6.5" customHeight="1" x14ac:dyDescent="0.3">
      <c r="A512" s="10"/>
      <c r="B512" s="14"/>
      <c r="C512" s="10"/>
      <c r="D512" s="10"/>
      <c r="E512" s="10"/>
      <c r="F512" s="10"/>
      <c r="G512" s="11"/>
      <c r="H512" s="11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6.5" customHeight="1" x14ac:dyDescent="0.3">
      <c r="A513" s="10"/>
      <c r="B513" s="14"/>
      <c r="C513" s="10"/>
      <c r="D513" s="10"/>
      <c r="E513" s="10"/>
      <c r="F513" s="10"/>
      <c r="G513" s="11"/>
      <c r="H513" s="11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6.5" customHeight="1" x14ac:dyDescent="0.3">
      <c r="A514" s="10"/>
      <c r="B514" s="14"/>
      <c r="C514" s="10"/>
      <c r="D514" s="10"/>
      <c r="E514" s="10"/>
      <c r="F514" s="10"/>
      <c r="G514" s="11"/>
      <c r="H514" s="11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6.5" customHeight="1" x14ac:dyDescent="0.3">
      <c r="A515" s="10"/>
      <c r="B515" s="14"/>
      <c r="C515" s="10"/>
      <c r="D515" s="10"/>
      <c r="E515" s="10"/>
      <c r="F515" s="10"/>
      <c r="G515" s="11"/>
      <c r="H515" s="11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6.5" customHeight="1" x14ac:dyDescent="0.3">
      <c r="A516" s="10"/>
      <c r="B516" s="14"/>
      <c r="C516" s="10"/>
      <c r="D516" s="10"/>
      <c r="E516" s="10"/>
      <c r="F516" s="10"/>
      <c r="G516" s="11"/>
      <c r="H516" s="11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6.5" customHeight="1" x14ac:dyDescent="0.3">
      <c r="A517" s="10"/>
      <c r="B517" s="14"/>
      <c r="C517" s="10"/>
      <c r="D517" s="10"/>
      <c r="E517" s="10"/>
      <c r="F517" s="10"/>
      <c r="G517" s="11"/>
      <c r="H517" s="11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6.5" customHeight="1" x14ac:dyDescent="0.3">
      <c r="A518" s="10"/>
      <c r="B518" s="14"/>
      <c r="C518" s="10"/>
      <c r="D518" s="10"/>
      <c r="E518" s="10"/>
      <c r="F518" s="10"/>
      <c r="G518" s="11"/>
      <c r="H518" s="11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6.5" customHeight="1" x14ac:dyDescent="0.3">
      <c r="A519" s="10"/>
      <c r="B519" s="14"/>
      <c r="C519" s="10"/>
      <c r="D519" s="10"/>
      <c r="E519" s="10"/>
      <c r="F519" s="10"/>
      <c r="G519" s="11"/>
      <c r="H519" s="11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6.5" customHeight="1" x14ac:dyDescent="0.3">
      <c r="A520" s="10"/>
      <c r="B520" s="14"/>
      <c r="C520" s="10"/>
      <c r="D520" s="10"/>
      <c r="E520" s="10"/>
      <c r="F520" s="10"/>
      <c r="G520" s="11"/>
      <c r="H520" s="11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6.5" customHeight="1" x14ac:dyDescent="0.3">
      <c r="A521" s="10"/>
      <c r="B521" s="14"/>
      <c r="C521" s="10"/>
      <c r="D521" s="10"/>
      <c r="E521" s="10"/>
      <c r="F521" s="10"/>
      <c r="G521" s="11"/>
      <c r="H521" s="11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6.5" customHeight="1" x14ac:dyDescent="0.3">
      <c r="A522" s="10"/>
      <c r="B522" s="14"/>
      <c r="C522" s="10"/>
      <c r="D522" s="10"/>
      <c r="E522" s="10"/>
      <c r="F522" s="10"/>
      <c r="G522" s="11"/>
      <c r="H522" s="11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6.5" customHeight="1" x14ac:dyDescent="0.3">
      <c r="A523" s="10"/>
      <c r="B523" s="14"/>
      <c r="C523" s="10"/>
      <c r="D523" s="10"/>
      <c r="E523" s="10"/>
      <c r="F523" s="10"/>
      <c r="G523" s="11"/>
      <c r="H523" s="11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6.5" customHeight="1" x14ac:dyDescent="0.3">
      <c r="A524" s="10"/>
      <c r="B524" s="14"/>
      <c r="C524" s="10"/>
      <c r="D524" s="10"/>
      <c r="E524" s="10"/>
      <c r="F524" s="10"/>
      <c r="G524" s="11"/>
      <c r="H524" s="11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6.5" customHeight="1" x14ac:dyDescent="0.3">
      <c r="A525" s="10"/>
      <c r="B525" s="14"/>
      <c r="C525" s="10"/>
      <c r="D525" s="10"/>
      <c r="E525" s="10"/>
      <c r="F525" s="10"/>
      <c r="G525" s="11"/>
      <c r="H525" s="11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6.5" customHeight="1" x14ac:dyDescent="0.3">
      <c r="A526" s="10"/>
      <c r="B526" s="14"/>
      <c r="C526" s="10"/>
      <c r="D526" s="10"/>
      <c r="E526" s="10"/>
      <c r="F526" s="10"/>
      <c r="G526" s="11"/>
      <c r="H526" s="11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6.5" customHeight="1" x14ac:dyDescent="0.3">
      <c r="A527" s="10"/>
      <c r="B527" s="14"/>
      <c r="C527" s="10"/>
      <c r="D527" s="10"/>
      <c r="E527" s="10"/>
      <c r="F527" s="10"/>
      <c r="G527" s="11"/>
      <c r="H527" s="11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6.5" customHeight="1" x14ac:dyDescent="0.3">
      <c r="A528" s="10"/>
      <c r="B528" s="14"/>
      <c r="C528" s="10"/>
      <c r="D528" s="10"/>
      <c r="E528" s="10"/>
      <c r="F528" s="10"/>
      <c r="G528" s="11"/>
      <c r="H528" s="11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6.5" customHeight="1" x14ac:dyDescent="0.3">
      <c r="A529" s="10"/>
      <c r="B529" s="14"/>
      <c r="C529" s="10"/>
      <c r="D529" s="10"/>
      <c r="E529" s="10"/>
      <c r="F529" s="10"/>
      <c r="G529" s="11"/>
      <c r="H529" s="11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6.5" customHeight="1" x14ac:dyDescent="0.3">
      <c r="A530" s="10"/>
      <c r="B530" s="14"/>
      <c r="C530" s="10"/>
      <c r="D530" s="10"/>
      <c r="E530" s="10"/>
      <c r="F530" s="10"/>
      <c r="G530" s="11"/>
      <c r="H530" s="11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6.5" customHeight="1" x14ac:dyDescent="0.3">
      <c r="A531" s="10"/>
      <c r="B531" s="14"/>
      <c r="C531" s="10"/>
      <c r="D531" s="10"/>
      <c r="E531" s="10"/>
      <c r="F531" s="10"/>
      <c r="G531" s="11"/>
      <c r="H531" s="11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6.5" customHeight="1" x14ac:dyDescent="0.3">
      <c r="A532" s="10"/>
      <c r="B532" s="14"/>
      <c r="C532" s="10"/>
      <c r="D532" s="10"/>
      <c r="E532" s="10"/>
      <c r="F532" s="10"/>
      <c r="G532" s="11"/>
      <c r="H532" s="11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6.5" customHeight="1" x14ac:dyDescent="0.3">
      <c r="A533" s="10"/>
      <c r="B533" s="14"/>
      <c r="C533" s="10"/>
      <c r="D533" s="10"/>
      <c r="E533" s="10"/>
      <c r="F533" s="10"/>
      <c r="G533" s="11"/>
      <c r="H533" s="11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6.5" customHeight="1" x14ac:dyDescent="0.3">
      <c r="A534" s="10"/>
      <c r="B534" s="14"/>
      <c r="C534" s="10"/>
      <c r="D534" s="10"/>
      <c r="E534" s="10"/>
      <c r="F534" s="10"/>
      <c r="G534" s="11"/>
      <c r="H534" s="11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6.5" customHeight="1" x14ac:dyDescent="0.3">
      <c r="A535" s="10"/>
      <c r="B535" s="14"/>
      <c r="C535" s="10"/>
      <c r="D535" s="10"/>
      <c r="E535" s="10"/>
      <c r="F535" s="10"/>
      <c r="G535" s="11"/>
      <c r="H535" s="11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6.5" customHeight="1" x14ac:dyDescent="0.3">
      <c r="A536" s="10"/>
      <c r="B536" s="14"/>
      <c r="C536" s="10"/>
      <c r="D536" s="10"/>
      <c r="E536" s="10"/>
      <c r="F536" s="10"/>
      <c r="G536" s="11"/>
      <c r="H536" s="11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6.5" customHeight="1" x14ac:dyDescent="0.3">
      <c r="A537" s="10"/>
      <c r="B537" s="14"/>
      <c r="C537" s="10"/>
      <c r="D537" s="10"/>
      <c r="E537" s="10"/>
      <c r="F537" s="10"/>
      <c r="G537" s="11"/>
      <c r="H537" s="11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6.5" customHeight="1" x14ac:dyDescent="0.3">
      <c r="A538" s="10"/>
      <c r="B538" s="14"/>
      <c r="C538" s="10"/>
      <c r="D538" s="10"/>
      <c r="E538" s="10"/>
      <c r="F538" s="10"/>
      <c r="G538" s="11"/>
      <c r="H538" s="11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6.5" customHeight="1" x14ac:dyDescent="0.3">
      <c r="A539" s="10"/>
      <c r="B539" s="14"/>
      <c r="C539" s="10"/>
      <c r="D539" s="10"/>
      <c r="E539" s="10"/>
      <c r="F539" s="10"/>
      <c r="G539" s="11"/>
      <c r="H539" s="11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6.5" customHeight="1" x14ac:dyDescent="0.3">
      <c r="A540" s="10"/>
      <c r="B540" s="14"/>
      <c r="C540" s="10"/>
      <c r="D540" s="10"/>
      <c r="E540" s="10"/>
      <c r="F540" s="10"/>
      <c r="G540" s="11"/>
      <c r="H540" s="11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6.5" customHeight="1" x14ac:dyDescent="0.3">
      <c r="A541" s="10"/>
      <c r="B541" s="14"/>
      <c r="C541" s="10"/>
      <c r="D541" s="10"/>
      <c r="E541" s="10"/>
      <c r="F541" s="10"/>
      <c r="G541" s="11"/>
      <c r="H541" s="11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6.5" customHeight="1" x14ac:dyDescent="0.3">
      <c r="A542" s="10"/>
      <c r="B542" s="14"/>
      <c r="C542" s="10"/>
      <c r="D542" s="10"/>
      <c r="E542" s="10"/>
      <c r="F542" s="10"/>
      <c r="G542" s="11"/>
      <c r="H542" s="11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6.5" customHeight="1" x14ac:dyDescent="0.3">
      <c r="A543" s="10"/>
      <c r="B543" s="14"/>
      <c r="C543" s="10"/>
      <c r="D543" s="10"/>
      <c r="E543" s="10"/>
      <c r="F543" s="10"/>
      <c r="G543" s="11"/>
      <c r="H543" s="11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6.5" customHeight="1" x14ac:dyDescent="0.3">
      <c r="A544" s="10"/>
      <c r="B544" s="14"/>
      <c r="C544" s="10"/>
      <c r="D544" s="10"/>
      <c r="E544" s="10"/>
      <c r="F544" s="10"/>
      <c r="G544" s="11"/>
      <c r="H544" s="11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6.5" customHeight="1" x14ac:dyDescent="0.3">
      <c r="A545" s="10"/>
      <c r="B545" s="14"/>
      <c r="C545" s="10"/>
      <c r="D545" s="10"/>
      <c r="E545" s="10"/>
      <c r="F545" s="10"/>
      <c r="G545" s="11"/>
      <c r="H545" s="11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6.5" customHeight="1" x14ac:dyDescent="0.3">
      <c r="A546" s="10"/>
      <c r="B546" s="14"/>
      <c r="C546" s="10"/>
      <c r="D546" s="10"/>
      <c r="E546" s="10"/>
      <c r="F546" s="10"/>
      <c r="G546" s="11"/>
      <c r="H546" s="11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6.5" customHeight="1" x14ac:dyDescent="0.3">
      <c r="A547" s="10"/>
      <c r="B547" s="14"/>
      <c r="C547" s="10"/>
      <c r="D547" s="10"/>
      <c r="E547" s="10"/>
      <c r="F547" s="10"/>
      <c r="G547" s="11"/>
      <c r="H547" s="11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6.5" customHeight="1" x14ac:dyDescent="0.3">
      <c r="A548" s="10"/>
      <c r="B548" s="14"/>
      <c r="C548" s="10"/>
      <c r="D548" s="10"/>
      <c r="E548" s="10"/>
      <c r="F548" s="10"/>
      <c r="G548" s="11"/>
      <c r="H548" s="11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6.5" customHeight="1" x14ac:dyDescent="0.3">
      <c r="A549" s="10"/>
      <c r="B549" s="14"/>
      <c r="C549" s="10"/>
      <c r="D549" s="10"/>
      <c r="E549" s="10"/>
      <c r="F549" s="10"/>
      <c r="G549" s="11"/>
      <c r="H549" s="11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6.5" customHeight="1" x14ac:dyDescent="0.3">
      <c r="A550" s="10"/>
      <c r="B550" s="14"/>
      <c r="C550" s="10"/>
      <c r="D550" s="10"/>
      <c r="E550" s="10"/>
      <c r="F550" s="10"/>
      <c r="G550" s="11"/>
      <c r="H550" s="11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6.5" customHeight="1" x14ac:dyDescent="0.3">
      <c r="A551" s="10"/>
      <c r="B551" s="14"/>
      <c r="C551" s="10"/>
      <c r="D551" s="10"/>
      <c r="E551" s="10"/>
      <c r="F551" s="10"/>
      <c r="G551" s="11"/>
      <c r="H551" s="11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6.5" customHeight="1" x14ac:dyDescent="0.3">
      <c r="A552" s="10"/>
      <c r="B552" s="14"/>
      <c r="C552" s="10"/>
      <c r="D552" s="10"/>
      <c r="E552" s="10"/>
      <c r="F552" s="10"/>
      <c r="G552" s="11"/>
      <c r="H552" s="11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6.5" customHeight="1" x14ac:dyDescent="0.3">
      <c r="A553" s="10"/>
      <c r="B553" s="14"/>
      <c r="C553" s="10"/>
      <c r="D553" s="10"/>
      <c r="E553" s="10"/>
      <c r="F553" s="10"/>
      <c r="G553" s="11"/>
      <c r="H553" s="11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6.5" customHeight="1" x14ac:dyDescent="0.3">
      <c r="A554" s="10"/>
      <c r="B554" s="14"/>
      <c r="C554" s="10"/>
      <c r="D554" s="10"/>
      <c r="E554" s="10"/>
      <c r="F554" s="10"/>
      <c r="G554" s="11"/>
      <c r="H554" s="11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6.5" customHeight="1" x14ac:dyDescent="0.3">
      <c r="A555" s="10"/>
      <c r="B555" s="14"/>
      <c r="C555" s="10"/>
      <c r="D555" s="10"/>
      <c r="E555" s="10"/>
      <c r="F555" s="10"/>
      <c r="G555" s="11"/>
      <c r="H555" s="11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6.5" customHeight="1" x14ac:dyDescent="0.3">
      <c r="A556" s="10"/>
      <c r="B556" s="14"/>
      <c r="C556" s="10"/>
      <c r="D556" s="10"/>
      <c r="E556" s="10"/>
      <c r="F556" s="10"/>
      <c r="G556" s="11"/>
      <c r="H556" s="11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6.5" customHeight="1" x14ac:dyDescent="0.3">
      <c r="A557" s="10"/>
      <c r="B557" s="14"/>
      <c r="C557" s="10"/>
      <c r="D557" s="10"/>
      <c r="E557" s="10"/>
      <c r="F557" s="10"/>
      <c r="G557" s="11"/>
      <c r="H557" s="11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6.5" customHeight="1" x14ac:dyDescent="0.3">
      <c r="A558" s="10"/>
      <c r="B558" s="14"/>
      <c r="C558" s="10"/>
      <c r="D558" s="10"/>
      <c r="E558" s="10"/>
      <c r="F558" s="10"/>
      <c r="G558" s="11"/>
      <c r="H558" s="11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6.5" customHeight="1" x14ac:dyDescent="0.3">
      <c r="A559" s="10"/>
      <c r="B559" s="14"/>
      <c r="C559" s="10"/>
      <c r="D559" s="10"/>
      <c r="E559" s="10"/>
      <c r="F559" s="10"/>
      <c r="G559" s="11"/>
      <c r="H559" s="11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6.5" customHeight="1" x14ac:dyDescent="0.3">
      <c r="A560" s="10"/>
      <c r="B560" s="14"/>
      <c r="C560" s="10"/>
      <c r="D560" s="10"/>
      <c r="E560" s="10"/>
      <c r="F560" s="10"/>
      <c r="G560" s="11"/>
      <c r="H560" s="11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6.5" customHeight="1" x14ac:dyDescent="0.3">
      <c r="A561" s="10"/>
      <c r="B561" s="14"/>
      <c r="C561" s="10"/>
      <c r="D561" s="10"/>
      <c r="E561" s="10"/>
      <c r="F561" s="10"/>
      <c r="G561" s="11"/>
      <c r="H561" s="11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6.5" customHeight="1" x14ac:dyDescent="0.3">
      <c r="A562" s="10"/>
      <c r="B562" s="14"/>
      <c r="C562" s="10"/>
      <c r="D562" s="10"/>
      <c r="E562" s="10"/>
      <c r="F562" s="10"/>
      <c r="G562" s="11"/>
      <c r="H562" s="11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6.5" customHeight="1" x14ac:dyDescent="0.3">
      <c r="A563" s="10"/>
      <c r="B563" s="14"/>
      <c r="C563" s="10"/>
      <c r="D563" s="10"/>
      <c r="E563" s="10"/>
      <c r="F563" s="10"/>
      <c r="G563" s="11"/>
      <c r="H563" s="11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6.5" customHeight="1" x14ac:dyDescent="0.3">
      <c r="A564" s="10"/>
      <c r="B564" s="14"/>
      <c r="C564" s="10"/>
      <c r="D564" s="10"/>
      <c r="E564" s="10"/>
      <c r="F564" s="10"/>
      <c r="G564" s="11"/>
      <c r="H564" s="11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6.5" customHeight="1" x14ac:dyDescent="0.3">
      <c r="A565" s="10"/>
      <c r="B565" s="14"/>
      <c r="C565" s="10"/>
      <c r="D565" s="10"/>
      <c r="E565" s="10"/>
      <c r="F565" s="10"/>
      <c r="G565" s="11"/>
      <c r="H565" s="11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6.5" customHeight="1" x14ac:dyDescent="0.3">
      <c r="A566" s="10"/>
      <c r="B566" s="14"/>
      <c r="C566" s="10"/>
      <c r="D566" s="10"/>
      <c r="E566" s="10"/>
      <c r="F566" s="10"/>
      <c r="G566" s="11"/>
      <c r="H566" s="11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6.5" customHeight="1" x14ac:dyDescent="0.3">
      <c r="A567" s="10"/>
      <c r="B567" s="14"/>
      <c r="C567" s="10"/>
      <c r="D567" s="10"/>
      <c r="E567" s="10"/>
      <c r="F567" s="10"/>
      <c r="G567" s="11"/>
      <c r="H567" s="11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6.5" customHeight="1" x14ac:dyDescent="0.3">
      <c r="A568" s="10"/>
      <c r="B568" s="14"/>
      <c r="C568" s="10"/>
      <c r="D568" s="10"/>
      <c r="E568" s="10"/>
      <c r="F568" s="10"/>
      <c r="G568" s="11"/>
      <c r="H568" s="11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6.5" customHeight="1" x14ac:dyDescent="0.3">
      <c r="A569" s="10"/>
      <c r="B569" s="14"/>
      <c r="C569" s="10"/>
      <c r="D569" s="10"/>
      <c r="E569" s="10"/>
      <c r="F569" s="10"/>
      <c r="G569" s="11"/>
      <c r="H569" s="11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6.5" customHeight="1" x14ac:dyDescent="0.3">
      <c r="A570" s="10"/>
      <c r="B570" s="14"/>
      <c r="C570" s="10"/>
      <c r="D570" s="10"/>
      <c r="E570" s="10"/>
      <c r="F570" s="10"/>
      <c r="G570" s="11"/>
      <c r="H570" s="11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6.5" customHeight="1" x14ac:dyDescent="0.3">
      <c r="A571" s="10"/>
      <c r="B571" s="14"/>
      <c r="C571" s="10"/>
      <c r="D571" s="10"/>
      <c r="E571" s="10"/>
      <c r="F571" s="10"/>
      <c r="G571" s="11"/>
      <c r="H571" s="11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6.5" customHeight="1" x14ac:dyDescent="0.3">
      <c r="A572" s="10"/>
      <c r="B572" s="14"/>
      <c r="C572" s="10"/>
      <c r="D572" s="10"/>
      <c r="E572" s="10"/>
      <c r="F572" s="10"/>
      <c r="G572" s="11"/>
      <c r="H572" s="11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6.5" customHeight="1" x14ac:dyDescent="0.3">
      <c r="A573" s="10"/>
      <c r="B573" s="14"/>
      <c r="C573" s="10"/>
      <c r="D573" s="10"/>
      <c r="E573" s="10"/>
      <c r="F573" s="10"/>
      <c r="G573" s="11"/>
      <c r="H573" s="11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6.5" customHeight="1" x14ac:dyDescent="0.3">
      <c r="A574" s="10"/>
      <c r="B574" s="14"/>
      <c r="C574" s="10"/>
      <c r="D574" s="10"/>
      <c r="E574" s="10"/>
      <c r="F574" s="10"/>
      <c r="G574" s="11"/>
      <c r="H574" s="11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6.5" customHeight="1" x14ac:dyDescent="0.3">
      <c r="A575" s="10"/>
      <c r="B575" s="14"/>
      <c r="C575" s="10"/>
      <c r="D575" s="10"/>
      <c r="E575" s="10"/>
      <c r="F575" s="10"/>
      <c r="G575" s="11"/>
      <c r="H575" s="11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6.5" customHeight="1" x14ac:dyDescent="0.3">
      <c r="A576" s="10"/>
      <c r="B576" s="14"/>
      <c r="C576" s="10"/>
      <c r="D576" s="10"/>
      <c r="E576" s="10"/>
      <c r="F576" s="10"/>
      <c r="G576" s="11"/>
      <c r="H576" s="11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6.5" customHeight="1" x14ac:dyDescent="0.3">
      <c r="A577" s="10"/>
      <c r="B577" s="14"/>
      <c r="C577" s="10"/>
      <c r="D577" s="10"/>
      <c r="E577" s="10"/>
      <c r="F577" s="10"/>
      <c r="G577" s="11"/>
      <c r="H577" s="11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6.5" customHeight="1" x14ac:dyDescent="0.3">
      <c r="A578" s="10"/>
      <c r="B578" s="14"/>
      <c r="C578" s="10"/>
      <c r="D578" s="10"/>
      <c r="E578" s="10"/>
      <c r="F578" s="10"/>
      <c r="G578" s="11"/>
      <c r="H578" s="11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6.5" customHeight="1" x14ac:dyDescent="0.3">
      <c r="A579" s="10"/>
      <c r="B579" s="14"/>
      <c r="C579" s="10"/>
      <c r="D579" s="10"/>
      <c r="E579" s="10"/>
      <c r="F579" s="10"/>
      <c r="G579" s="11"/>
      <c r="H579" s="11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6.5" customHeight="1" x14ac:dyDescent="0.3">
      <c r="A580" s="10"/>
      <c r="B580" s="14"/>
      <c r="C580" s="10"/>
      <c r="D580" s="10"/>
      <c r="E580" s="10"/>
      <c r="F580" s="10"/>
      <c r="G580" s="11"/>
      <c r="H580" s="11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6.5" customHeight="1" x14ac:dyDescent="0.3">
      <c r="A581" s="10"/>
      <c r="B581" s="14"/>
      <c r="C581" s="10"/>
      <c r="D581" s="10"/>
      <c r="E581" s="10"/>
      <c r="F581" s="10"/>
      <c r="G581" s="11"/>
      <c r="H581" s="11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6.5" customHeight="1" x14ac:dyDescent="0.3">
      <c r="A582" s="10"/>
      <c r="B582" s="14"/>
      <c r="C582" s="10"/>
      <c r="D582" s="10"/>
      <c r="E582" s="10"/>
      <c r="F582" s="10"/>
      <c r="G582" s="11"/>
      <c r="H582" s="11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6.5" customHeight="1" x14ac:dyDescent="0.3">
      <c r="A583" s="10"/>
      <c r="B583" s="14"/>
      <c r="C583" s="10"/>
      <c r="D583" s="10"/>
      <c r="E583" s="10"/>
      <c r="F583" s="10"/>
      <c r="G583" s="11"/>
      <c r="H583" s="11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6.5" customHeight="1" x14ac:dyDescent="0.3">
      <c r="A584" s="10"/>
      <c r="B584" s="14"/>
      <c r="C584" s="10"/>
      <c r="D584" s="10"/>
      <c r="E584" s="10"/>
      <c r="F584" s="10"/>
      <c r="G584" s="11"/>
      <c r="H584" s="11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6.5" customHeight="1" x14ac:dyDescent="0.3">
      <c r="A585" s="10"/>
      <c r="B585" s="14"/>
      <c r="C585" s="10"/>
      <c r="D585" s="10"/>
      <c r="E585" s="10"/>
      <c r="F585" s="10"/>
      <c r="G585" s="11"/>
      <c r="H585" s="11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6.5" customHeight="1" x14ac:dyDescent="0.3">
      <c r="A586" s="10"/>
      <c r="B586" s="14"/>
      <c r="C586" s="10"/>
      <c r="D586" s="10"/>
      <c r="E586" s="10"/>
      <c r="F586" s="10"/>
      <c r="G586" s="11"/>
      <c r="H586" s="11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6.5" customHeight="1" x14ac:dyDescent="0.3">
      <c r="A587" s="10"/>
      <c r="B587" s="14"/>
      <c r="C587" s="10"/>
      <c r="D587" s="10"/>
      <c r="E587" s="10"/>
      <c r="F587" s="10"/>
      <c r="G587" s="11"/>
      <c r="H587" s="11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6.5" customHeight="1" x14ac:dyDescent="0.3">
      <c r="A588" s="10"/>
      <c r="B588" s="14"/>
      <c r="C588" s="10"/>
      <c r="D588" s="10"/>
      <c r="E588" s="10"/>
      <c r="F588" s="10"/>
      <c r="G588" s="11"/>
      <c r="H588" s="11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6.5" customHeight="1" x14ac:dyDescent="0.3">
      <c r="A589" s="10"/>
      <c r="B589" s="14"/>
      <c r="C589" s="10"/>
      <c r="D589" s="10"/>
      <c r="E589" s="10"/>
      <c r="F589" s="10"/>
      <c r="G589" s="11"/>
      <c r="H589" s="11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6.5" customHeight="1" x14ac:dyDescent="0.3">
      <c r="A590" s="10"/>
      <c r="B590" s="14"/>
      <c r="C590" s="10"/>
      <c r="D590" s="10"/>
      <c r="E590" s="10"/>
      <c r="F590" s="10"/>
      <c r="G590" s="11"/>
      <c r="H590" s="11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6.5" customHeight="1" x14ac:dyDescent="0.3">
      <c r="A591" s="10"/>
      <c r="B591" s="14"/>
      <c r="C591" s="10"/>
      <c r="D591" s="10"/>
      <c r="E591" s="10"/>
      <c r="F591" s="10"/>
      <c r="G591" s="11"/>
      <c r="H591" s="11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6.5" customHeight="1" x14ac:dyDescent="0.3">
      <c r="A592" s="10"/>
      <c r="B592" s="14"/>
      <c r="C592" s="10"/>
      <c r="D592" s="10"/>
      <c r="E592" s="10"/>
      <c r="F592" s="10"/>
      <c r="G592" s="11"/>
      <c r="H592" s="11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6.5" customHeight="1" x14ac:dyDescent="0.3">
      <c r="A593" s="10"/>
      <c r="B593" s="14"/>
      <c r="C593" s="10"/>
      <c r="D593" s="10"/>
      <c r="E593" s="10"/>
      <c r="F593" s="10"/>
      <c r="G593" s="11"/>
      <c r="H593" s="11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6.5" customHeight="1" x14ac:dyDescent="0.3">
      <c r="A594" s="10"/>
      <c r="B594" s="14"/>
      <c r="C594" s="10"/>
      <c r="D594" s="10"/>
      <c r="E594" s="10"/>
      <c r="F594" s="10"/>
      <c r="G594" s="11"/>
      <c r="H594" s="11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6.5" customHeight="1" x14ac:dyDescent="0.3">
      <c r="A595" s="10"/>
      <c r="B595" s="14"/>
      <c r="C595" s="10"/>
      <c r="D595" s="10"/>
      <c r="E595" s="10"/>
      <c r="F595" s="10"/>
      <c r="G595" s="11"/>
      <c r="H595" s="11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6.5" customHeight="1" x14ac:dyDescent="0.3">
      <c r="A596" s="10"/>
      <c r="B596" s="14"/>
      <c r="C596" s="10"/>
      <c r="D596" s="10"/>
      <c r="E596" s="10"/>
      <c r="F596" s="10"/>
      <c r="G596" s="11"/>
      <c r="H596" s="11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6.5" customHeight="1" x14ac:dyDescent="0.3">
      <c r="A597" s="10"/>
      <c r="B597" s="14"/>
      <c r="C597" s="10"/>
      <c r="D597" s="10"/>
      <c r="E597" s="10"/>
      <c r="F597" s="10"/>
      <c r="G597" s="11"/>
      <c r="H597" s="11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6.5" customHeight="1" x14ac:dyDescent="0.3">
      <c r="A598" s="10"/>
      <c r="B598" s="14"/>
      <c r="C598" s="10"/>
      <c r="D598" s="10"/>
      <c r="E598" s="10"/>
      <c r="F598" s="10"/>
      <c r="G598" s="11"/>
      <c r="H598" s="11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6.5" customHeight="1" x14ac:dyDescent="0.3">
      <c r="A599" s="10"/>
      <c r="B599" s="14"/>
      <c r="C599" s="10"/>
      <c r="D599" s="10"/>
      <c r="E599" s="10"/>
      <c r="F599" s="10"/>
      <c r="G599" s="11"/>
      <c r="H599" s="11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6.5" customHeight="1" x14ac:dyDescent="0.3">
      <c r="A600" s="10"/>
      <c r="B600" s="14"/>
      <c r="C600" s="10"/>
      <c r="D600" s="10"/>
      <c r="E600" s="10"/>
      <c r="F600" s="10"/>
      <c r="G600" s="11"/>
      <c r="H600" s="11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6.5" customHeight="1" x14ac:dyDescent="0.3">
      <c r="A601" s="10"/>
      <c r="B601" s="14"/>
      <c r="C601" s="10"/>
      <c r="D601" s="10"/>
      <c r="E601" s="10"/>
      <c r="F601" s="10"/>
      <c r="G601" s="11"/>
      <c r="H601" s="11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6.5" customHeight="1" x14ac:dyDescent="0.3">
      <c r="A602" s="10"/>
      <c r="B602" s="14"/>
      <c r="C602" s="10"/>
      <c r="D602" s="10"/>
      <c r="E602" s="10"/>
      <c r="F602" s="10"/>
      <c r="G602" s="11"/>
      <c r="H602" s="11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6.5" customHeight="1" x14ac:dyDescent="0.3">
      <c r="A603" s="10"/>
      <c r="B603" s="14"/>
      <c r="C603" s="10"/>
      <c r="D603" s="10"/>
      <c r="E603" s="10"/>
      <c r="F603" s="10"/>
      <c r="G603" s="11"/>
      <c r="H603" s="11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6.5" customHeight="1" x14ac:dyDescent="0.3">
      <c r="A604" s="10"/>
      <c r="B604" s="14"/>
      <c r="C604" s="10"/>
      <c r="D604" s="10"/>
      <c r="E604" s="10"/>
      <c r="F604" s="10"/>
      <c r="G604" s="11"/>
      <c r="H604" s="11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6.5" customHeight="1" x14ac:dyDescent="0.3">
      <c r="A605" s="10"/>
      <c r="B605" s="14"/>
      <c r="C605" s="10"/>
      <c r="D605" s="10"/>
      <c r="E605" s="10"/>
      <c r="F605" s="10"/>
      <c r="G605" s="11"/>
      <c r="H605" s="11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6.5" customHeight="1" x14ac:dyDescent="0.3">
      <c r="A606" s="10"/>
      <c r="B606" s="14"/>
      <c r="C606" s="10"/>
      <c r="D606" s="10"/>
      <c r="E606" s="10"/>
      <c r="F606" s="10"/>
      <c r="G606" s="11"/>
      <c r="H606" s="11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6.5" customHeight="1" x14ac:dyDescent="0.3">
      <c r="A607" s="10"/>
      <c r="B607" s="14"/>
      <c r="C607" s="10"/>
      <c r="D607" s="10"/>
      <c r="E607" s="10"/>
      <c r="F607" s="10"/>
      <c r="G607" s="11"/>
      <c r="H607" s="11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6.5" customHeight="1" x14ac:dyDescent="0.3">
      <c r="A608" s="10"/>
      <c r="B608" s="14"/>
      <c r="C608" s="10"/>
      <c r="D608" s="10"/>
      <c r="E608" s="10"/>
      <c r="F608" s="10"/>
      <c r="G608" s="11"/>
      <c r="H608" s="11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6.5" customHeight="1" x14ac:dyDescent="0.3">
      <c r="A609" s="10"/>
      <c r="B609" s="14"/>
      <c r="C609" s="10"/>
      <c r="D609" s="10"/>
      <c r="E609" s="10"/>
      <c r="F609" s="10"/>
      <c r="G609" s="11"/>
      <c r="H609" s="11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6.5" customHeight="1" x14ac:dyDescent="0.3">
      <c r="A610" s="10"/>
      <c r="B610" s="14"/>
      <c r="C610" s="10"/>
      <c r="D610" s="10"/>
      <c r="E610" s="10"/>
      <c r="F610" s="10"/>
      <c r="G610" s="11"/>
      <c r="H610" s="11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6.5" customHeight="1" x14ac:dyDescent="0.3">
      <c r="A611" s="10"/>
      <c r="B611" s="14"/>
      <c r="C611" s="10"/>
      <c r="D611" s="10"/>
      <c r="E611" s="10"/>
      <c r="F611" s="10"/>
      <c r="G611" s="11"/>
      <c r="H611" s="11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6.5" customHeight="1" x14ac:dyDescent="0.3">
      <c r="A612" s="10"/>
      <c r="B612" s="14"/>
      <c r="C612" s="10"/>
      <c r="D612" s="10"/>
      <c r="E612" s="10"/>
      <c r="F612" s="10"/>
      <c r="G612" s="11"/>
      <c r="H612" s="11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6.5" customHeight="1" x14ac:dyDescent="0.3">
      <c r="A613" s="10"/>
      <c r="B613" s="14"/>
      <c r="C613" s="10"/>
      <c r="D613" s="10"/>
      <c r="E613" s="10"/>
      <c r="F613" s="10"/>
      <c r="G613" s="11"/>
      <c r="H613" s="11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6.5" customHeight="1" x14ac:dyDescent="0.3">
      <c r="A614" s="10"/>
      <c r="B614" s="14"/>
      <c r="C614" s="10"/>
      <c r="D614" s="10"/>
      <c r="E614" s="10"/>
      <c r="F614" s="10"/>
      <c r="G614" s="11"/>
      <c r="H614" s="11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6.5" customHeight="1" x14ac:dyDescent="0.3">
      <c r="A615" s="10"/>
      <c r="B615" s="14"/>
      <c r="C615" s="10"/>
      <c r="D615" s="10"/>
      <c r="E615" s="10"/>
      <c r="F615" s="10"/>
      <c r="G615" s="11"/>
      <c r="H615" s="11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6.5" customHeight="1" x14ac:dyDescent="0.3">
      <c r="A616" s="10"/>
      <c r="B616" s="14"/>
      <c r="C616" s="10"/>
      <c r="D616" s="10"/>
      <c r="E616" s="10"/>
      <c r="F616" s="10"/>
      <c r="G616" s="11"/>
      <c r="H616" s="11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6.5" customHeight="1" x14ac:dyDescent="0.3">
      <c r="A617" s="10"/>
      <c r="B617" s="14"/>
      <c r="C617" s="10"/>
      <c r="D617" s="10"/>
      <c r="E617" s="10"/>
      <c r="F617" s="10"/>
      <c r="G617" s="11"/>
      <c r="H617" s="11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6.5" customHeight="1" x14ac:dyDescent="0.3">
      <c r="A618" s="10"/>
      <c r="B618" s="14"/>
      <c r="C618" s="10"/>
      <c r="D618" s="10"/>
      <c r="E618" s="10"/>
      <c r="F618" s="10"/>
      <c r="G618" s="11"/>
      <c r="H618" s="11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6.5" customHeight="1" x14ac:dyDescent="0.3">
      <c r="A619" s="10"/>
      <c r="B619" s="14"/>
      <c r="C619" s="10"/>
      <c r="D619" s="10"/>
      <c r="E619" s="10"/>
      <c r="F619" s="10"/>
      <c r="G619" s="11"/>
      <c r="H619" s="11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6.5" customHeight="1" x14ac:dyDescent="0.3">
      <c r="A620" s="10"/>
      <c r="B620" s="14"/>
      <c r="C620" s="10"/>
      <c r="D620" s="10"/>
      <c r="E620" s="10"/>
      <c r="F620" s="10"/>
      <c r="G620" s="11"/>
      <c r="H620" s="11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6.5" customHeight="1" x14ac:dyDescent="0.3">
      <c r="A621" s="10"/>
      <c r="B621" s="14"/>
      <c r="C621" s="10"/>
      <c r="D621" s="10"/>
      <c r="E621" s="10"/>
      <c r="F621" s="10"/>
      <c r="G621" s="11"/>
      <c r="H621" s="11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6.5" customHeight="1" x14ac:dyDescent="0.3">
      <c r="A622" s="10"/>
      <c r="B622" s="14"/>
      <c r="C622" s="10"/>
      <c r="D622" s="10"/>
      <c r="E622" s="10"/>
      <c r="F622" s="10"/>
      <c r="G622" s="11"/>
      <c r="H622" s="11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6.5" customHeight="1" x14ac:dyDescent="0.3">
      <c r="A623" s="10"/>
      <c r="B623" s="14"/>
      <c r="C623" s="10"/>
      <c r="D623" s="10"/>
      <c r="E623" s="10"/>
      <c r="F623" s="10"/>
      <c r="G623" s="11"/>
      <c r="H623" s="11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6.5" customHeight="1" x14ac:dyDescent="0.3">
      <c r="A624" s="10"/>
      <c r="B624" s="14"/>
      <c r="C624" s="10"/>
      <c r="D624" s="10"/>
      <c r="E624" s="10"/>
      <c r="F624" s="10"/>
      <c r="G624" s="11"/>
      <c r="H624" s="11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6.5" customHeight="1" x14ac:dyDescent="0.3">
      <c r="A625" s="10"/>
      <c r="B625" s="14"/>
      <c r="C625" s="10"/>
      <c r="D625" s="10"/>
      <c r="E625" s="10"/>
      <c r="F625" s="10"/>
      <c r="G625" s="11"/>
      <c r="H625" s="11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6.5" customHeight="1" x14ac:dyDescent="0.3">
      <c r="A626" s="10"/>
      <c r="B626" s="14"/>
      <c r="C626" s="10"/>
      <c r="D626" s="10"/>
      <c r="E626" s="10"/>
      <c r="F626" s="10"/>
      <c r="G626" s="11"/>
      <c r="H626" s="11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6.5" customHeight="1" x14ac:dyDescent="0.3">
      <c r="A627" s="10"/>
      <c r="B627" s="14"/>
      <c r="C627" s="10"/>
      <c r="D627" s="10"/>
      <c r="E627" s="10"/>
      <c r="F627" s="10"/>
      <c r="G627" s="11"/>
      <c r="H627" s="11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6.5" customHeight="1" x14ac:dyDescent="0.3">
      <c r="A628" s="10"/>
      <c r="B628" s="14"/>
      <c r="C628" s="10"/>
      <c r="D628" s="10"/>
      <c r="E628" s="10"/>
      <c r="F628" s="10"/>
      <c r="G628" s="11"/>
      <c r="H628" s="11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6.5" customHeight="1" x14ac:dyDescent="0.3">
      <c r="A629" s="10"/>
      <c r="B629" s="14"/>
      <c r="C629" s="10"/>
      <c r="D629" s="10"/>
      <c r="E629" s="10"/>
      <c r="F629" s="10"/>
      <c r="G629" s="11"/>
      <c r="H629" s="11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6.5" customHeight="1" x14ac:dyDescent="0.3">
      <c r="A630" s="10"/>
      <c r="B630" s="14"/>
      <c r="C630" s="10"/>
      <c r="D630" s="10"/>
      <c r="E630" s="10"/>
      <c r="F630" s="10"/>
      <c r="G630" s="11"/>
      <c r="H630" s="11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6.5" customHeight="1" x14ac:dyDescent="0.3">
      <c r="A631" s="10"/>
      <c r="B631" s="14"/>
      <c r="C631" s="10"/>
      <c r="D631" s="10"/>
      <c r="E631" s="10"/>
      <c r="F631" s="10"/>
      <c r="G631" s="11"/>
      <c r="H631" s="11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6.5" customHeight="1" x14ac:dyDescent="0.3">
      <c r="A632" s="10"/>
      <c r="B632" s="14"/>
      <c r="C632" s="10"/>
      <c r="D632" s="10"/>
      <c r="E632" s="10"/>
      <c r="F632" s="10"/>
      <c r="G632" s="11"/>
      <c r="H632" s="11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6.5" customHeight="1" x14ac:dyDescent="0.3">
      <c r="A633" s="10"/>
      <c r="B633" s="14"/>
      <c r="C633" s="10"/>
      <c r="D633" s="10"/>
      <c r="E633" s="10"/>
      <c r="F633" s="10"/>
      <c r="G633" s="11"/>
      <c r="H633" s="11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6.5" customHeight="1" x14ac:dyDescent="0.3">
      <c r="A634" s="10"/>
      <c r="B634" s="14"/>
      <c r="C634" s="10"/>
      <c r="D634" s="10"/>
      <c r="E634" s="10"/>
      <c r="F634" s="10"/>
      <c r="G634" s="11"/>
      <c r="H634" s="11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6.5" customHeight="1" x14ac:dyDescent="0.3">
      <c r="A635" s="10"/>
      <c r="B635" s="14"/>
      <c r="C635" s="10"/>
      <c r="D635" s="10"/>
      <c r="E635" s="10"/>
      <c r="F635" s="10"/>
      <c r="G635" s="11"/>
      <c r="H635" s="11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6.5" customHeight="1" x14ac:dyDescent="0.3">
      <c r="A636" s="10"/>
      <c r="B636" s="14"/>
      <c r="C636" s="10"/>
      <c r="D636" s="10"/>
      <c r="E636" s="10"/>
      <c r="F636" s="10"/>
      <c r="G636" s="11"/>
      <c r="H636" s="11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6.5" customHeight="1" x14ac:dyDescent="0.3">
      <c r="A637" s="10"/>
      <c r="B637" s="14"/>
      <c r="C637" s="10"/>
      <c r="D637" s="10"/>
      <c r="E637" s="10"/>
      <c r="F637" s="10"/>
      <c r="G637" s="11"/>
      <c r="H637" s="11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6.5" customHeight="1" x14ac:dyDescent="0.3">
      <c r="A638" s="10"/>
      <c r="B638" s="14"/>
      <c r="C638" s="10"/>
      <c r="D638" s="10"/>
      <c r="E638" s="10"/>
      <c r="F638" s="10"/>
      <c r="G638" s="11"/>
      <c r="H638" s="11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6.5" customHeight="1" x14ac:dyDescent="0.3">
      <c r="A639" s="10"/>
      <c r="B639" s="14"/>
      <c r="C639" s="10"/>
      <c r="D639" s="10"/>
      <c r="E639" s="10"/>
      <c r="F639" s="10"/>
      <c r="G639" s="11"/>
      <c r="H639" s="11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6.5" customHeight="1" x14ac:dyDescent="0.3">
      <c r="A640" s="10"/>
      <c r="B640" s="14"/>
      <c r="C640" s="10"/>
      <c r="D640" s="10"/>
      <c r="E640" s="10"/>
      <c r="F640" s="10"/>
      <c r="G640" s="11"/>
      <c r="H640" s="11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6.5" customHeight="1" x14ac:dyDescent="0.3">
      <c r="A641" s="10"/>
      <c r="B641" s="14"/>
      <c r="C641" s="10"/>
      <c r="D641" s="10"/>
      <c r="E641" s="10"/>
      <c r="F641" s="10"/>
      <c r="G641" s="11"/>
      <c r="H641" s="11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6.5" customHeight="1" x14ac:dyDescent="0.3">
      <c r="A642" s="10"/>
      <c r="B642" s="14"/>
      <c r="C642" s="10"/>
      <c r="D642" s="10"/>
      <c r="E642" s="10"/>
      <c r="F642" s="10"/>
      <c r="G642" s="11"/>
      <c r="H642" s="11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6.5" customHeight="1" x14ac:dyDescent="0.3">
      <c r="A643" s="10"/>
      <c r="B643" s="14"/>
      <c r="C643" s="10"/>
      <c r="D643" s="10"/>
      <c r="E643" s="10"/>
      <c r="F643" s="10"/>
      <c r="G643" s="11"/>
      <c r="H643" s="11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6.5" customHeight="1" x14ac:dyDescent="0.3">
      <c r="A644" s="10"/>
      <c r="B644" s="14"/>
      <c r="C644" s="10"/>
      <c r="D644" s="10"/>
      <c r="E644" s="10"/>
      <c r="F644" s="10"/>
      <c r="G644" s="11"/>
      <c r="H644" s="11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6.5" customHeight="1" x14ac:dyDescent="0.3">
      <c r="A645" s="10"/>
      <c r="B645" s="14"/>
      <c r="C645" s="10"/>
      <c r="D645" s="10"/>
      <c r="E645" s="10"/>
      <c r="F645" s="10"/>
      <c r="G645" s="11"/>
      <c r="H645" s="11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6.5" customHeight="1" x14ac:dyDescent="0.3">
      <c r="A646" s="10"/>
      <c r="B646" s="14"/>
      <c r="C646" s="10"/>
      <c r="D646" s="10"/>
      <c r="E646" s="10"/>
      <c r="F646" s="10"/>
      <c r="G646" s="11"/>
      <c r="H646" s="11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6.5" customHeight="1" x14ac:dyDescent="0.3">
      <c r="A647" s="10"/>
      <c r="B647" s="14"/>
      <c r="C647" s="10"/>
      <c r="D647" s="10"/>
      <c r="E647" s="10"/>
      <c r="F647" s="10"/>
      <c r="G647" s="11"/>
      <c r="H647" s="11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6.5" customHeight="1" x14ac:dyDescent="0.3">
      <c r="A648" s="10"/>
      <c r="B648" s="14"/>
      <c r="C648" s="10"/>
      <c r="D648" s="10"/>
      <c r="E648" s="10"/>
      <c r="F648" s="10"/>
      <c r="G648" s="11"/>
      <c r="H648" s="11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6.5" customHeight="1" x14ac:dyDescent="0.3">
      <c r="A649" s="10"/>
      <c r="B649" s="14"/>
      <c r="C649" s="10"/>
      <c r="D649" s="10"/>
      <c r="E649" s="10"/>
      <c r="F649" s="10"/>
      <c r="G649" s="11"/>
      <c r="H649" s="11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6.5" customHeight="1" x14ac:dyDescent="0.3">
      <c r="A650" s="10"/>
      <c r="B650" s="14"/>
      <c r="C650" s="10"/>
      <c r="D650" s="10"/>
      <c r="E650" s="10"/>
      <c r="F650" s="10"/>
      <c r="G650" s="11"/>
      <c r="H650" s="11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6.5" customHeight="1" x14ac:dyDescent="0.3">
      <c r="A651" s="10"/>
      <c r="B651" s="14"/>
      <c r="C651" s="10"/>
      <c r="D651" s="10"/>
      <c r="E651" s="10"/>
      <c r="F651" s="10"/>
      <c r="G651" s="11"/>
      <c r="H651" s="11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6.5" customHeight="1" x14ac:dyDescent="0.3">
      <c r="A652" s="10"/>
      <c r="B652" s="14"/>
      <c r="C652" s="10"/>
      <c r="D652" s="10"/>
      <c r="E652" s="10"/>
      <c r="F652" s="10"/>
      <c r="G652" s="11"/>
      <c r="H652" s="11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6.5" customHeight="1" x14ac:dyDescent="0.3">
      <c r="A653" s="10"/>
      <c r="B653" s="14"/>
      <c r="C653" s="10"/>
      <c r="D653" s="10"/>
      <c r="E653" s="10"/>
      <c r="F653" s="10"/>
      <c r="G653" s="11"/>
      <c r="H653" s="11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6.5" customHeight="1" x14ac:dyDescent="0.3">
      <c r="A654" s="10"/>
      <c r="B654" s="14"/>
      <c r="C654" s="10"/>
      <c r="D654" s="10"/>
      <c r="E654" s="10"/>
      <c r="F654" s="10"/>
      <c r="G654" s="11"/>
      <c r="H654" s="11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6.5" customHeight="1" x14ac:dyDescent="0.3">
      <c r="A655" s="10"/>
      <c r="B655" s="14"/>
      <c r="C655" s="10"/>
      <c r="D655" s="10"/>
      <c r="E655" s="10"/>
      <c r="F655" s="10"/>
      <c r="G655" s="11"/>
      <c r="H655" s="11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6.5" customHeight="1" x14ac:dyDescent="0.3">
      <c r="A656" s="10"/>
      <c r="B656" s="14"/>
      <c r="C656" s="10"/>
      <c r="D656" s="10"/>
      <c r="E656" s="10"/>
      <c r="F656" s="10"/>
      <c r="G656" s="11"/>
      <c r="H656" s="11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6.5" customHeight="1" x14ac:dyDescent="0.3">
      <c r="A657" s="10"/>
      <c r="B657" s="14"/>
      <c r="C657" s="10"/>
      <c r="D657" s="10"/>
      <c r="E657" s="10"/>
      <c r="F657" s="10"/>
      <c r="G657" s="11"/>
      <c r="H657" s="11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6.5" customHeight="1" x14ac:dyDescent="0.3">
      <c r="A658" s="10"/>
      <c r="B658" s="14"/>
      <c r="C658" s="10"/>
      <c r="D658" s="10"/>
      <c r="E658" s="10"/>
      <c r="F658" s="10"/>
      <c r="G658" s="11"/>
      <c r="H658" s="11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6.5" customHeight="1" x14ac:dyDescent="0.3">
      <c r="A659" s="10"/>
      <c r="B659" s="14"/>
      <c r="C659" s="10"/>
      <c r="D659" s="10"/>
      <c r="E659" s="10"/>
      <c r="F659" s="10"/>
      <c r="G659" s="11"/>
      <c r="H659" s="11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6.5" customHeight="1" x14ac:dyDescent="0.3">
      <c r="A660" s="10"/>
      <c r="B660" s="14"/>
      <c r="C660" s="10"/>
      <c r="D660" s="10"/>
      <c r="E660" s="10"/>
      <c r="F660" s="10"/>
      <c r="G660" s="11"/>
      <c r="H660" s="11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6.5" customHeight="1" x14ac:dyDescent="0.3">
      <c r="A661" s="10"/>
      <c r="B661" s="14"/>
      <c r="C661" s="10"/>
      <c r="D661" s="10"/>
      <c r="E661" s="10"/>
      <c r="F661" s="10"/>
      <c r="G661" s="11"/>
      <c r="H661" s="11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6.5" customHeight="1" x14ac:dyDescent="0.3">
      <c r="A662" s="10"/>
      <c r="B662" s="14"/>
      <c r="C662" s="10"/>
      <c r="D662" s="10"/>
      <c r="E662" s="10"/>
      <c r="F662" s="10"/>
      <c r="G662" s="11"/>
      <c r="H662" s="11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6.5" customHeight="1" x14ac:dyDescent="0.3">
      <c r="A663" s="10"/>
      <c r="B663" s="14"/>
      <c r="C663" s="10"/>
      <c r="D663" s="10"/>
      <c r="E663" s="10"/>
      <c r="F663" s="10"/>
      <c r="G663" s="11"/>
      <c r="H663" s="11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6.5" customHeight="1" x14ac:dyDescent="0.3">
      <c r="A664" s="10"/>
      <c r="B664" s="14"/>
      <c r="C664" s="10"/>
      <c r="D664" s="10"/>
      <c r="E664" s="10"/>
      <c r="F664" s="10"/>
      <c r="G664" s="11"/>
      <c r="H664" s="11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6.5" customHeight="1" x14ac:dyDescent="0.3">
      <c r="A665" s="10"/>
      <c r="B665" s="14"/>
      <c r="C665" s="10"/>
      <c r="D665" s="10"/>
      <c r="E665" s="10"/>
      <c r="F665" s="10"/>
      <c r="G665" s="11"/>
      <c r="H665" s="11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6.5" customHeight="1" x14ac:dyDescent="0.3">
      <c r="A666" s="10"/>
      <c r="B666" s="14"/>
      <c r="C666" s="10"/>
      <c r="D666" s="10"/>
      <c r="E666" s="10"/>
      <c r="F666" s="10"/>
      <c r="G666" s="11"/>
      <c r="H666" s="11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6.5" customHeight="1" x14ac:dyDescent="0.3">
      <c r="A667" s="10"/>
      <c r="B667" s="14"/>
      <c r="C667" s="10"/>
      <c r="D667" s="10"/>
      <c r="E667" s="10"/>
      <c r="F667" s="10"/>
      <c r="G667" s="11"/>
      <c r="H667" s="11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6.5" customHeight="1" x14ac:dyDescent="0.3">
      <c r="A668" s="10"/>
      <c r="B668" s="14"/>
      <c r="C668" s="10"/>
      <c r="D668" s="10"/>
      <c r="E668" s="10"/>
      <c r="F668" s="10"/>
      <c r="G668" s="11"/>
      <c r="H668" s="11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6.5" customHeight="1" x14ac:dyDescent="0.3">
      <c r="A669" s="10"/>
      <c r="B669" s="14"/>
      <c r="C669" s="10"/>
      <c r="D669" s="10"/>
      <c r="E669" s="10"/>
      <c r="F669" s="10"/>
      <c r="G669" s="11"/>
      <c r="H669" s="11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6.5" customHeight="1" x14ac:dyDescent="0.3">
      <c r="A670" s="10"/>
      <c r="B670" s="14"/>
      <c r="C670" s="10"/>
      <c r="D670" s="10"/>
      <c r="E670" s="10"/>
      <c r="F670" s="10"/>
      <c r="G670" s="11"/>
      <c r="H670" s="11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6.5" customHeight="1" x14ac:dyDescent="0.3">
      <c r="A671" s="10"/>
      <c r="B671" s="14"/>
      <c r="C671" s="10"/>
      <c r="D671" s="10"/>
      <c r="E671" s="10"/>
      <c r="F671" s="10"/>
      <c r="G671" s="11"/>
      <c r="H671" s="11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6.5" customHeight="1" x14ac:dyDescent="0.3">
      <c r="A672" s="10"/>
      <c r="B672" s="14"/>
      <c r="C672" s="10"/>
      <c r="D672" s="10"/>
      <c r="E672" s="10"/>
      <c r="F672" s="10"/>
      <c r="G672" s="11"/>
      <c r="H672" s="11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6.5" customHeight="1" x14ac:dyDescent="0.3">
      <c r="A673" s="10"/>
      <c r="B673" s="14"/>
      <c r="C673" s="10"/>
      <c r="D673" s="10"/>
      <c r="E673" s="10"/>
      <c r="F673" s="10"/>
      <c r="G673" s="11"/>
      <c r="H673" s="11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6.5" customHeight="1" x14ac:dyDescent="0.3">
      <c r="A674" s="10"/>
      <c r="B674" s="14"/>
      <c r="C674" s="10"/>
      <c r="D674" s="10"/>
      <c r="E674" s="10"/>
      <c r="F674" s="10"/>
      <c r="G674" s="11"/>
      <c r="H674" s="11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6.5" customHeight="1" x14ac:dyDescent="0.3">
      <c r="A675" s="10"/>
      <c r="B675" s="14"/>
      <c r="C675" s="10"/>
      <c r="D675" s="10"/>
      <c r="E675" s="10"/>
      <c r="F675" s="10"/>
      <c r="G675" s="11"/>
      <c r="H675" s="11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6.5" customHeight="1" x14ac:dyDescent="0.3">
      <c r="A676" s="10"/>
      <c r="B676" s="14"/>
      <c r="C676" s="10"/>
      <c r="D676" s="10"/>
      <c r="E676" s="10"/>
      <c r="F676" s="10"/>
      <c r="G676" s="11"/>
      <c r="H676" s="11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6.5" customHeight="1" x14ac:dyDescent="0.3">
      <c r="A677" s="10"/>
      <c r="B677" s="14"/>
      <c r="C677" s="10"/>
      <c r="D677" s="10"/>
      <c r="E677" s="10"/>
      <c r="F677" s="10"/>
      <c r="G677" s="11"/>
      <c r="H677" s="11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6.5" customHeight="1" x14ac:dyDescent="0.3">
      <c r="A678" s="10"/>
      <c r="B678" s="14"/>
      <c r="C678" s="10"/>
      <c r="D678" s="10"/>
      <c r="E678" s="10"/>
      <c r="F678" s="10"/>
      <c r="G678" s="11"/>
      <c r="H678" s="11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6.5" customHeight="1" x14ac:dyDescent="0.3">
      <c r="A679" s="10"/>
      <c r="B679" s="14"/>
      <c r="C679" s="10"/>
      <c r="D679" s="10"/>
      <c r="E679" s="10"/>
      <c r="F679" s="10"/>
      <c r="G679" s="11"/>
      <c r="H679" s="11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6.5" customHeight="1" x14ac:dyDescent="0.3">
      <c r="A680" s="10"/>
      <c r="B680" s="14"/>
      <c r="C680" s="10"/>
      <c r="D680" s="10"/>
      <c r="E680" s="10"/>
      <c r="F680" s="10"/>
      <c r="G680" s="11"/>
      <c r="H680" s="11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6.5" customHeight="1" x14ac:dyDescent="0.3">
      <c r="A681" s="10"/>
      <c r="B681" s="14"/>
      <c r="C681" s="10"/>
      <c r="D681" s="10"/>
      <c r="E681" s="10"/>
      <c r="F681" s="10"/>
      <c r="G681" s="11"/>
      <c r="H681" s="11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6.5" customHeight="1" x14ac:dyDescent="0.3">
      <c r="A682" s="10"/>
      <c r="B682" s="14"/>
      <c r="C682" s="10"/>
      <c r="D682" s="10"/>
      <c r="E682" s="10"/>
      <c r="F682" s="10"/>
      <c r="G682" s="11"/>
      <c r="H682" s="11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6.5" customHeight="1" x14ac:dyDescent="0.3">
      <c r="A683" s="10"/>
      <c r="B683" s="14"/>
      <c r="C683" s="10"/>
      <c r="D683" s="10"/>
      <c r="E683" s="10"/>
      <c r="F683" s="10"/>
      <c r="G683" s="11"/>
      <c r="H683" s="11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6.5" customHeight="1" x14ac:dyDescent="0.3">
      <c r="A684" s="10"/>
      <c r="B684" s="14"/>
      <c r="C684" s="10"/>
      <c r="D684" s="10"/>
      <c r="E684" s="10"/>
      <c r="F684" s="10"/>
      <c r="G684" s="11"/>
      <c r="H684" s="11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6.5" customHeight="1" x14ac:dyDescent="0.3">
      <c r="A685" s="10"/>
      <c r="B685" s="14"/>
      <c r="C685" s="10"/>
      <c r="D685" s="10"/>
      <c r="E685" s="10"/>
      <c r="F685" s="10"/>
      <c r="G685" s="11"/>
      <c r="H685" s="11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6.5" customHeight="1" x14ac:dyDescent="0.3">
      <c r="A686" s="10"/>
      <c r="B686" s="14"/>
      <c r="C686" s="10"/>
      <c r="D686" s="10"/>
      <c r="E686" s="10"/>
      <c r="F686" s="10"/>
      <c r="G686" s="11"/>
      <c r="H686" s="11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6.5" customHeight="1" x14ac:dyDescent="0.3">
      <c r="A687" s="10"/>
      <c r="B687" s="14"/>
      <c r="C687" s="10"/>
      <c r="D687" s="10"/>
      <c r="E687" s="10"/>
      <c r="F687" s="10"/>
      <c r="G687" s="11"/>
      <c r="H687" s="11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6.5" customHeight="1" x14ac:dyDescent="0.3">
      <c r="A688" s="10"/>
      <c r="B688" s="14"/>
      <c r="C688" s="10"/>
      <c r="D688" s="10"/>
      <c r="E688" s="10"/>
      <c r="F688" s="10"/>
      <c r="G688" s="11"/>
      <c r="H688" s="11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6.5" customHeight="1" x14ac:dyDescent="0.3">
      <c r="A689" s="10"/>
      <c r="B689" s="14"/>
      <c r="C689" s="10"/>
      <c r="D689" s="10"/>
      <c r="E689" s="10"/>
      <c r="F689" s="10"/>
      <c r="G689" s="11"/>
      <c r="H689" s="11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6.5" customHeight="1" x14ac:dyDescent="0.3">
      <c r="A690" s="10"/>
      <c r="B690" s="14"/>
      <c r="C690" s="10"/>
      <c r="D690" s="10"/>
      <c r="E690" s="10"/>
      <c r="F690" s="10"/>
      <c r="G690" s="11"/>
      <c r="H690" s="11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6.5" customHeight="1" x14ac:dyDescent="0.3">
      <c r="A691" s="10"/>
      <c r="B691" s="14"/>
      <c r="C691" s="10"/>
      <c r="D691" s="10"/>
      <c r="E691" s="10"/>
      <c r="F691" s="10"/>
      <c r="G691" s="11"/>
      <c r="H691" s="11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6.5" customHeight="1" x14ac:dyDescent="0.3">
      <c r="A692" s="10"/>
      <c r="B692" s="14"/>
      <c r="C692" s="10"/>
      <c r="D692" s="10"/>
      <c r="E692" s="10"/>
      <c r="F692" s="10"/>
      <c r="G692" s="11"/>
      <c r="H692" s="11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6.5" customHeight="1" x14ac:dyDescent="0.3">
      <c r="A693" s="10"/>
      <c r="B693" s="14"/>
      <c r="C693" s="10"/>
      <c r="D693" s="10"/>
      <c r="E693" s="10"/>
      <c r="F693" s="10"/>
      <c r="G693" s="11"/>
      <c r="H693" s="11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6.5" customHeight="1" x14ac:dyDescent="0.3">
      <c r="A694" s="10"/>
      <c r="B694" s="14"/>
      <c r="C694" s="10"/>
      <c r="D694" s="10"/>
      <c r="E694" s="10"/>
      <c r="F694" s="10"/>
      <c r="G694" s="11"/>
      <c r="H694" s="11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6.5" customHeight="1" x14ac:dyDescent="0.3">
      <c r="A695" s="10"/>
      <c r="B695" s="14"/>
      <c r="C695" s="10"/>
      <c r="D695" s="10"/>
      <c r="E695" s="10"/>
      <c r="F695" s="10"/>
      <c r="G695" s="11"/>
      <c r="H695" s="11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6.5" customHeight="1" x14ac:dyDescent="0.3">
      <c r="A696" s="10"/>
      <c r="B696" s="14"/>
      <c r="C696" s="10"/>
      <c r="D696" s="10"/>
      <c r="E696" s="10"/>
      <c r="F696" s="10"/>
      <c r="G696" s="11"/>
      <c r="H696" s="11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6.5" customHeight="1" x14ac:dyDescent="0.3">
      <c r="A697" s="10"/>
      <c r="B697" s="14"/>
      <c r="C697" s="10"/>
      <c r="D697" s="10"/>
      <c r="E697" s="10"/>
      <c r="F697" s="10"/>
      <c r="G697" s="11"/>
      <c r="H697" s="11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6.5" customHeight="1" x14ac:dyDescent="0.3">
      <c r="A698" s="10"/>
      <c r="B698" s="14"/>
      <c r="C698" s="10"/>
      <c r="D698" s="10"/>
      <c r="E698" s="10"/>
      <c r="F698" s="10"/>
      <c r="G698" s="11"/>
      <c r="H698" s="11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6.5" customHeight="1" x14ac:dyDescent="0.3">
      <c r="A699" s="10"/>
      <c r="B699" s="14"/>
      <c r="C699" s="10"/>
      <c r="D699" s="10"/>
      <c r="E699" s="10"/>
      <c r="F699" s="10"/>
      <c r="G699" s="11"/>
      <c r="H699" s="11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6.5" customHeight="1" x14ac:dyDescent="0.3">
      <c r="A700" s="10"/>
      <c r="B700" s="14"/>
      <c r="C700" s="10"/>
      <c r="D700" s="10"/>
      <c r="E700" s="10"/>
      <c r="F700" s="10"/>
      <c r="G700" s="11"/>
      <c r="H700" s="11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6.5" customHeight="1" x14ac:dyDescent="0.3">
      <c r="A701" s="10"/>
      <c r="B701" s="14"/>
      <c r="C701" s="10"/>
      <c r="D701" s="10"/>
      <c r="E701" s="10"/>
      <c r="F701" s="10"/>
      <c r="G701" s="11"/>
      <c r="H701" s="11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6.5" customHeight="1" x14ac:dyDescent="0.3">
      <c r="A702" s="10"/>
      <c r="B702" s="14"/>
      <c r="C702" s="10"/>
      <c r="D702" s="10"/>
      <c r="E702" s="10"/>
      <c r="F702" s="10"/>
      <c r="G702" s="11"/>
      <c r="H702" s="11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6.5" customHeight="1" x14ac:dyDescent="0.3">
      <c r="A703" s="10"/>
      <c r="B703" s="14"/>
      <c r="C703" s="10"/>
      <c r="D703" s="10"/>
      <c r="E703" s="10"/>
      <c r="F703" s="10"/>
      <c r="G703" s="11"/>
      <c r="H703" s="11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6.5" customHeight="1" x14ac:dyDescent="0.3">
      <c r="A704" s="10"/>
      <c r="B704" s="14"/>
      <c r="C704" s="10"/>
      <c r="D704" s="10"/>
      <c r="E704" s="10"/>
      <c r="F704" s="10"/>
      <c r="G704" s="11"/>
      <c r="H704" s="11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6.5" customHeight="1" x14ac:dyDescent="0.3">
      <c r="A705" s="10"/>
      <c r="B705" s="14"/>
      <c r="C705" s="10"/>
      <c r="D705" s="10"/>
      <c r="E705" s="10"/>
      <c r="F705" s="10"/>
      <c r="G705" s="11"/>
      <c r="H705" s="11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6.5" customHeight="1" x14ac:dyDescent="0.3">
      <c r="A706" s="10"/>
      <c r="B706" s="14"/>
      <c r="C706" s="10"/>
      <c r="D706" s="10"/>
      <c r="E706" s="10"/>
      <c r="F706" s="10"/>
      <c r="G706" s="11"/>
      <c r="H706" s="11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6.5" customHeight="1" x14ac:dyDescent="0.3">
      <c r="A707" s="10"/>
      <c r="B707" s="14"/>
      <c r="C707" s="10"/>
      <c r="D707" s="10"/>
      <c r="E707" s="10"/>
      <c r="F707" s="10"/>
      <c r="G707" s="11"/>
      <c r="H707" s="11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6.5" customHeight="1" x14ac:dyDescent="0.3">
      <c r="A708" s="10"/>
      <c r="B708" s="14"/>
      <c r="C708" s="10"/>
      <c r="D708" s="10"/>
      <c r="E708" s="10"/>
      <c r="F708" s="10"/>
      <c r="G708" s="11"/>
      <c r="H708" s="11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6.5" customHeight="1" x14ac:dyDescent="0.3">
      <c r="A709" s="10"/>
      <c r="B709" s="14"/>
      <c r="C709" s="10"/>
      <c r="D709" s="10"/>
      <c r="E709" s="10"/>
      <c r="F709" s="10"/>
      <c r="G709" s="11"/>
      <c r="H709" s="11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6.5" customHeight="1" x14ac:dyDescent="0.3">
      <c r="A710" s="10"/>
      <c r="B710" s="14"/>
      <c r="C710" s="10"/>
      <c r="D710" s="10"/>
      <c r="E710" s="10"/>
      <c r="F710" s="10"/>
      <c r="G710" s="11"/>
      <c r="H710" s="11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6.5" customHeight="1" x14ac:dyDescent="0.3">
      <c r="A711" s="10"/>
      <c r="B711" s="14"/>
      <c r="C711" s="10"/>
      <c r="D711" s="10"/>
      <c r="E711" s="10"/>
      <c r="F711" s="10"/>
      <c r="G711" s="11"/>
      <c r="H711" s="11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6.5" customHeight="1" x14ac:dyDescent="0.3">
      <c r="A712" s="10"/>
      <c r="B712" s="14"/>
      <c r="C712" s="10"/>
      <c r="D712" s="10"/>
      <c r="E712" s="10"/>
      <c r="F712" s="10"/>
      <c r="G712" s="11"/>
      <c r="H712" s="11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6.5" customHeight="1" x14ac:dyDescent="0.3">
      <c r="A713" s="10"/>
      <c r="B713" s="14"/>
      <c r="C713" s="10"/>
      <c r="D713" s="10"/>
      <c r="E713" s="10"/>
      <c r="F713" s="10"/>
      <c r="G713" s="11"/>
      <c r="H713" s="11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6.5" customHeight="1" x14ac:dyDescent="0.3">
      <c r="A714" s="10"/>
      <c r="B714" s="14"/>
      <c r="C714" s="10"/>
      <c r="D714" s="10"/>
      <c r="E714" s="10"/>
      <c r="F714" s="10"/>
      <c r="G714" s="11"/>
      <c r="H714" s="11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6.5" customHeight="1" x14ac:dyDescent="0.3">
      <c r="A715" s="10"/>
      <c r="B715" s="14"/>
      <c r="C715" s="10"/>
      <c r="D715" s="10"/>
      <c r="E715" s="10"/>
      <c r="F715" s="10"/>
      <c r="G715" s="11"/>
      <c r="H715" s="11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6.5" customHeight="1" x14ac:dyDescent="0.3">
      <c r="A716" s="10"/>
      <c r="B716" s="14"/>
      <c r="C716" s="10"/>
      <c r="D716" s="10"/>
      <c r="E716" s="10"/>
      <c r="F716" s="10"/>
      <c r="G716" s="11"/>
      <c r="H716" s="11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6.5" customHeight="1" x14ac:dyDescent="0.3">
      <c r="A717" s="10"/>
      <c r="B717" s="14"/>
      <c r="C717" s="10"/>
      <c r="D717" s="10"/>
      <c r="E717" s="10"/>
      <c r="F717" s="10"/>
      <c r="G717" s="11"/>
      <c r="H717" s="11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6.5" customHeight="1" x14ac:dyDescent="0.3">
      <c r="A718" s="10"/>
      <c r="B718" s="14"/>
      <c r="C718" s="10"/>
      <c r="D718" s="10"/>
      <c r="E718" s="10"/>
      <c r="F718" s="10"/>
      <c r="G718" s="11"/>
      <c r="H718" s="11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6.5" customHeight="1" x14ac:dyDescent="0.3">
      <c r="A719" s="10"/>
      <c r="B719" s="14"/>
      <c r="C719" s="10"/>
      <c r="D719" s="10"/>
      <c r="E719" s="10"/>
      <c r="F719" s="10"/>
      <c r="G719" s="11"/>
      <c r="H719" s="11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6.5" customHeight="1" x14ac:dyDescent="0.3">
      <c r="A720" s="10"/>
      <c r="B720" s="14"/>
      <c r="C720" s="10"/>
      <c r="D720" s="10"/>
      <c r="E720" s="10"/>
      <c r="F720" s="10"/>
      <c r="G720" s="11"/>
      <c r="H720" s="11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6.5" customHeight="1" x14ac:dyDescent="0.3">
      <c r="A721" s="10"/>
      <c r="B721" s="14"/>
      <c r="C721" s="10"/>
      <c r="D721" s="10"/>
      <c r="E721" s="10"/>
      <c r="F721" s="10"/>
      <c r="G721" s="11"/>
      <c r="H721" s="11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6.5" customHeight="1" x14ac:dyDescent="0.3">
      <c r="A722" s="10"/>
      <c r="B722" s="14"/>
      <c r="C722" s="10"/>
      <c r="D722" s="10"/>
      <c r="E722" s="10"/>
      <c r="F722" s="10"/>
      <c r="G722" s="11"/>
      <c r="H722" s="11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6.5" customHeight="1" x14ac:dyDescent="0.3">
      <c r="A723" s="10"/>
      <c r="B723" s="14"/>
      <c r="C723" s="10"/>
      <c r="D723" s="10"/>
      <c r="E723" s="10"/>
      <c r="F723" s="10"/>
      <c r="G723" s="11"/>
      <c r="H723" s="11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6.5" customHeight="1" x14ac:dyDescent="0.3">
      <c r="A724" s="10"/>
      <c r="B724" s="14"/>
      <c r="C724" s="10"/>
      <c r="D724" s="10"/>
      <c r="E724" s="10"/>
      <c r="F724" s="10"/>
      <c r="G724" s="11"/>
      <c r="H724" s="11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6.5" customHeight="1" x14ac:dyDescent="0.3">
      <c r="A725" s="10"/>
      <c r="B725" s="14"/>
      <c r="C725" s="10"/>
      <c r="D725" s="10"/>
      <c r="E725" s="10"/>
      <c r="F725" s="10"/>
      <c r="G725" s="11"/>
      <c r="H725" s="11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6.5" customHeight="1" x14ac:dyDescent="0.3">
      <c r="A726" s="10"/>
      <c r="B726" s="14"/>
      <c r="C726" s="10"/>
      <c r="D726" s="10"/>
      <c r="E726" s="10"/>
      <c r="F726" s="10"/>
      <c r="G726" s="11"/>
      <c r="H726" s="11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6.5" customHeight="1" x14ac:dyDescent="0.3">
      <c r="A727" s="10"/>
      <c r="B727" s="14"/>
      <c r="C727" s="10"/>
      <c r="D727" s="10"/>
      <c r="E727" s="10"/>
      <c r="F727" s="10"/>
      <c r="G727" s="11"/>
      <c r="H727" s="11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6.5" customHeight="1" x14ac:dyDescent="0.3">
      <c r="A728" s="10"/>
      <c r="B728" s="14"/>
      <c r="C728" s="10"/>
      <c r="D728" s="10"/>
      <c r="E728" s="10"/>
      <c r="F728" s="10"/>
      <c r="G728" s="11"/>
      <c r="H728" s="11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6.5" customHeight="1" x14ac:dyDescent="0.3">
      <c r="A729" s="10"/>
      <c r="B729" s="14"/>
      <c r="C729" s="10"/>
      <c r="D729" s="10"/>
      <c r="E729" s="10"/>
      <c r="F729" s="10"/>
      <c r="G729" s="11"/>
      <c r="H729" s="11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6.5" customHeight="1" x14ac:dyDescent="0.3">
      <c r="A730" s="10"/>
      <c r="B730" s="14"/>
      <c r="C730" s="10"/>
      <c r="D730" s="10"/>
      <c r="E730" s="10"/>
      <c r="F730" s="10"/>
      <c r="G730" s="11"/>
      <c r="H730" s="11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6.5" customHeight="1" x14ac:dyDescent="0.3">
      <c r="A731" s="10"/>
      <c r="B731" s="14"/>
      <c r="C731" s="10"/>
      <c r="D731" s="10"/>
      <c r="E731" s="10"/>
      <c r="F731" s="10"/>
      <c r="G731" s="11"/>
      <c r="H731" s="11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6.5" customHeight="1" x14ac:dyDescent="0.3">
      <c r="A732" s="10"/>
      <c r="B732" s="14"/>
      <c r="C732" s="10"/>
      <c r="D732" s="10"/>
      <c r="E732" s="10"/>
      <c r="F732" s="10"/>
      <c r="G732" s="11"/>
      <c r="H732" s="11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6.5" customHeight="1" x14ac:dyDescent="0.3">
      <c r="A733" s="10"/>
      <c r="B733" s="14"/>
      <c r="C733" s="10"/>
      <c r="D733" s="10"/>
      <c r="E733" s="10"/>
      <c r="F733" s="10"/>
      <c r="G733" s="11"/>
      <c r="H733" s="11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6.5" customHeight="1" x14ac:dyDescent="0.3">
      <c r="A734" s="10"/>
      <c r="B734" s="14"/>
      <c r="C734" s="10"/>
      <c r="D734" s="10"/>
      <c r="E734" s="10"/>
      <c r="F734" s="10"/>
      <c r="G734" s="11"/>
      <c r="H734" s="11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6.5" customHeight="1" x14ac:dyDescent="0.3">
      <c r="A735" s="10"/>
      <c r="B735" s="14"/>
      <c r="C735" s="10"/>
      <c r="D735" s="10"/>
      <c r="E735" s="10"/>
      <c r="F735" s="10"/>
      <c r="G735" s="11"/>
      <c r="H735" s="11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6.5" customHeight="1" x14ac:dyDescent="0.3">
      <c r="A736" s="10"/>
      <c r="B736" s="14"/>
      <c r="C736" s="10"/>
      <c r="D736" s="10"/>
      <c r="E736" s="10"/>
      <c r="F736" s="10"/>
      <c r="G736" s="11"/>
      <c r="H736" s="11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6.5" customHeight="1" x14ac:dyDescent="0.3">
      <c r="A737" s="10"/>
      <c r="B737" s="14"/>
      <c r="C737" s="10"/>
      <c r="D737" s="10"/>
      <c r="E737" s="10"/>
      <c r="F737" s="10"/>
      <c r="G737" s="11"/>
      <c r="H737" s="11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6.5" customHeight="1" x14ac:dyDescent="0.3">
      <c r="A738" s="10"/>
      <c r="B738" s="14"/>
      <c r="C738" s="10"/>
      <c r="D738" s="10"/>
      <c r="E738" s="10"/>
      <c r="F738" s="10"/>
      <c r="G738" s="11"/>
      <c r="H738" s="11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6.5" customHeight="1" x14ac:dyDescent="0.3">
      <c r="A739" s="10"/>
      <c r="B739" s="14"/>
      <c r="C739" s="10"/>
      <c r="D739" s="10"/>
      <c r="E739" s="10"/>
      <c r="F739" s="10"/>
      <c r="G739" s="11"/>
      <c r="H739" s="11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6.5" customHeight="1" x14ac:dyDescent="0.3">
      <c r="A740" s="10"/>
      <c r="B740" s="14"/>
      <c r="C740" s="10"/>
      <c r="D740" s="10"/>
      <c r="E740" s="10"/>
      <c r="F740" s="10"/>
      <c r="G740" s="11"/>
      <c r="H740" s="11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6.5" customHeight="1" x14ac:dyDescent="0.3">
      <c r="A741" s="10"/>
      <c r="B741" s="14"/>
      <c r="C741" s="10"/>
      <c r="D741" s="10"/>
      <c r="E741" s="10"/>
      <c r="F741" s="10"/>
      <c r="G741" s="11"/>
      <c r="H741" s="11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6.5" customHeight="1" x14ac:dyDescent="0.3">
      <c r="A742" s="10"/>
      <c r="B742" s="14"/>
      <c r="C742" s="10"/>
      <c r="D742" s="10"/>
      <c r="E742" s="10"/>
      <c r="F742" s="10"/>
      <c r="G742" s="11"/>
      <c r="H742" s="11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6.5" customHeight="1" x14ac:dyDescent="0.3">
      <c r="A743" s="10"/>
      <c r="B743" s="14"/>
      <c r="C743" s="10"/>
      <c r="D743" s="10"/>
      <c r="E743" s="10"/>
      <c r="F743" s="10"/>
      <c r="G743" s="11"/>
      <c r="H743" s="11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6.5" customHeight="1" x14ac:dyDescent="0.3">
      <c r="A744" s="10"/>
      <c r="B744" s="14"/>
      <c r="C744" s="10"/>
      <c r="D744" s="10"/>
      <c r="E744" s="10"/>
      <c r="F744" s="10"/>
      <c r="G744" s="11"/>
      <c r="H744" s="11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6.5" customHeight="1" x14ac:dyDescent="0.3">
      <c r="A745" s="10"/>
      <c r="B745" s="14"/>
      <c r="C745" s="10"/>
      <c r="D745" s="10"/>
      <c r="E745" s="10"/>
      <c r="F745" s="10"/>
      <c r="G745" s="11"/>
      <c r="H745" s="11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6.5" customHeight="1" x14ac:dyDescent="0.3">
      <c r="A746" s="10"/>
      <c r="B746" s="14"/>
      <c r="C746" s="10"/>
      <c r="D746" s="10"/>
      <c r="E746" s="10"/>
      <c r="F746" s="10"/>
      <c r="G746" s="11"/>
      <c r="H746" s="11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6.5" customHeight="1" x14ac:dyDescent="0.3">
      <c r="A747" s="10"/>
      <c r="B747" s="14"/>
      <c r="C747" s="10"/>
      <c r="D747" s="10"/>
      <c r="E747" s="10"/>
      <c r="F747" s="10"/>
      <c r="G747" s="11"/>
      <c r="H747" s="11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6.5" customHeight="1" x14ac:dyDescent="0.3">
      <c r="A748" s="10"/>
      <c r="B748" s="14"/>
      <c r="C748" s="10"/>
      <c r="D748" s="10"/>
      <c r="E748" s="10"/>
      <c r="F748" s="10"/>
      <c r="G748" s="11"/>
      <c r="H748" s="11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6.5" customHeight="1" x14ac:dyDescent="0.3">
      <c r="A749" s="10"/>
      <c r="B749" s="14"/>
      <c r="C749" s="10"/>
      <c r="D749" s="10"/>
      <c r="E749" s="10"/>
      <c r="F749" s="10"/>
      <c r="G749" s="11"/>
      <c r="H749" s="11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6.5" customHeight="1" x14ac:dyDescent="0.3">
      <c r="A750" s="10"/>
      <c r="B750" s="14"/>
      <c r="C750" s="10"/>
      <c r="D750" s="10"/>
      <c r="E750" s="10"/>
      <c r="F750" s="10"/>
      <c r="G750" s="11"/>
      <c r="H750" s="11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6.5" customHeight="1" x14ac:dyDescent="0.3">
      <c r="A751" s="10"/>
      <c r="B751" s="14"/>
      <c r="C751" s="10"/>
      <c r="D751" s="10"/>
      <c r="E751" s="10"/>
      <c r="F751" s="10"/>
      <c r="G751" s="11"/>
      <c r="H751" s="11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6.5" customHeight="1" x14ac:dyDescent="0.3">
      <c r="A752" s="10"/>
      <c r="B752" s="14"/>
      <c r="C752" s="10"/>
      <c r="D752" s="10"/>
      <c r="E752" s="10"/>
      <c r="F752" s="10"/>
      <c r="G752" s="11"/>
      <c r="H752" s="11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6.5" customHeight="1" x14ac:dyDescent="0.3">
      <c r="A753" s="10"/>
      <c r="B753" s="14"/>
      <c r="C753" s="10"/>
      <c r="D753" s="10"/>
      <c r="E753" s="10"/>
      <c r="F753" s="10"/>
      <c r="G753" s="11"/>
      <c r="H753" s="11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6.5" customHeight="1" x14ac:dyDescent="0.3">
      <c r="A754" s="10"/>
      <c r="B754" s="14"/>
      <c r="C754" s="10"/>
      <c r="D754" s="10"/>
      <c r="E754" s="10"/>
      <c r="F754" s="10"/>
      <c r="G754" s="11"/>
      <c r="H754" s="11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6.5" customHeight="1" x14ac:dyDescent="0.3">
      <c r="A755" s="10"/>
      <c r="B755" s="14"/>
      <c r="C755" s="10"/>
      <c r="D755" s="10"/>
      <c r="E755" s="10"/>
      <c r="F755" s="10"/>
      <c r="G755" s="11"/>
      <c r="H755" s="11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6.5" customHeight="1" x14ac:dyDescent="0.3">
      <c r="A756" s="10"/>
      <c r="B756" s="14"/>
      <c r="C756" s="10"/>
      <c r="D756" s="10"/>
      <c r="E756" s="10"/>
      <c r="F756" s="10"/>
      <c r="G756" s="11"/>
      <c r="H756" s="11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6.5" customHeight="1" x14ac:dyDescent="0.3">
      <c r="A757" s="10"/>
      <c r="B757" s="14"/>
      <c r="C757" s="10"/>
      <c r="D757" s="10"/>
      <c r="E757" s="10"/>
      <c r="F757" s="10"/>
      <c r="G757" s="11"/>
      <c r="H757" s="11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6.5" customHeight="1" x14ac:dyDescent="0.3">
      <c r="A758" s="10"/>
      <c r="B758" s="14"/>
      <c r="C758" s="10"/>
      <c r="D758" s="10"/>
      <c r="E758" s="10"/>
      <c r="F758" s="10"/>
      <c r="G758" s="11"/>
      <c r="H758" s="11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6.5" customHeight="1" x14ac:dyDescent="0.3">
      <c r="A759" s="10"/>
      <c r="B759" s="14"/>
      <c r="C759" s="10"/>
      <c r="D759" s="10"/>
      <c r="E759" s="10"/>
      <c r="F759" s="10"/>
      <c r="G759" s="11"/>
      <c r="H759" s="11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6.5" customHeight="1" x14ac:dyDescent="0.3">
      <c r="A760" s="10"/>
      <c r="B760" s="14"/>
      <c r="C760" s="10"/>
      <c r="D760" s="10"/>
      <c r="E760" s="10"/>
      <c r="F760" s="10"/>
      <c r="G760" s="11"/>
      <c r="H760" s="11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6.5" customHeight="1" x14ac:dyDescent="0.3">
      <c r="A761" s="10"/>
      <c r="B761" s="14"/>
      <c r="C761" s="10"/>
      <c r="D761" s="10"/>
      <c r="E761" s="10"/>
      <c r="F761" s="10"/>
      <c r="G761" s="11"/>
      <c r="H761" s="11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6.5" customHeight="1" x14ac:dyDescent="0.3">
      <c r="A762" s="10"/>
      <c r="B762" s="14"/>
      <c r="C762" s="10"/>
      <c r="D762" s="10"/>
      <c r="E762" s="10"/>
      <c r="F762" s="10"/>
      <c r="G762" s="11"/>
      <c r="H762" s="11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6.5" customHeight="1" x14ac:dyDescent="0.3">
      <c r="A763" s="10"/>
      <c r="B763" s="14"/>
      <c r="C763" s="10"/>
      <c r="D763" s="10"/>
      <c r="E763" s="10"/>
      <c r="F763" s="10"/>
      <c r="G763" s="11"/>
      <c r="H763" s="11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6.5" customHeight="1" x14ac:dyDescent="0.3">
      <c r="A764" s="10"/>
      <c r="B764" s="14"/>
      <c r="C764" s="10"/>
      <c r="D764" s="10"/>
      <c r="E764" s="10"/>
      <c r="F764" s="10"/>
      <c r="G764" s="11"/>
      <c r="H764" s="11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6.5" customHeight="1" x14ac:dyDescent="0.3">
      <c r="A765" s="10"/>
      <c r="B765" s="14"/>
      <c r="C765" s="10"/>
      <c r="D765" s="10"/>
      <c r="E765" s="10"/>
      <c r="F765" s="10"/>
      <c r="G765" s="11"/>
      <c r="H765" s="11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6.5" customHeight="1" x14ac:dyDescent="0.3">
      <c r="A766" s="10"/>
      <c r="B766" s="14"/>
      <c r="C766" s="10"/>
      <c r="D766" s="10"/>
      <c r="E766" s="10"/>
      <c r="F766" s="10"/>
      <c r="G766" s="11"/>
      <c r="H766" s="11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6.5" customHeight="1" x14ac:dyDescent="0.3">
      <c r="A767" s="10"/>
      <c r="B767" s="14"/>
      <c r="C767" s="10"/>
      <c r="D767" s="10"/>
      <c r="E767" s="10"/>
      <c r="F767" s="10"/>
      <c r="G767" s="11"/>
      <c r="H767" s="11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6.5" customHeight="1" x14ac:dyDescent="0.3">
      <c r="A768" s="10"/>
      <c r="B768" s="14"/>
      <c r="C768" s="10"/>
      <c r="D768" s="10"/>
      <c r="E768" s="10"/>
      <c r="F768" s="10"/>
      <c r="G768" s="11"/>
      <c r="H768" s="11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6.5" customHeight="1" x14ac:dyDescent="0.3">
      <c r="A769" s="10"/>
      <c r="B769" s="14"/>
      <c r="C769" s="10"/>
      <c r="D769" s="10"/>
      <c r="E769" s="10"/>
      <c r="F769" s="10"/>
      <c r="G769" s="11"/>
      <c r="H769" s="11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6.5" customHeight="1" x14ac:dyDescent="0.3">
      <c r="A770" s="10"/>
      <c r="B770" s="14"/>
      <c r="C770" s="10"/>
      <c r="D770" s="10"/>
      <c r="E770" s="10"/>
      <c r="F770" s="10"/>
      <c r="G770" s="11"/>
      <c r="H770" s="11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6.5" customHeight="1" x14ac:dyDescent="0.3">
      <c r="A771" s="10"/>
      <c r="B771" s="14"/>
      <c r="C771" s="10"/>
      <c r="D771" s="10"/>
      <c r="E771" s="10"/>
      <c r="F771" s="10"/>
      <c r="G771" s="11"/>
      <c r="H771" s="11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6.5" customHeight="1" x14ac:dyDescent="0.3">
      <c r="A772" s="10"/>
      <c r="B772" s="14"/>
      <c r="C772" s="10"/>
      <c r="D772" s="10"/>
      <c r="E772" s="10"/>
      <c r="F772" s="10"/>
      <c r="G772" s="11"/>
      <c r="H772" s="11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6.5" customHeight="1" x14ac:dyDescent="0.3">
      <c r="A773" s="10"/>
      <c r="B773" s="14"/>
      <c r="C773" s="10"/>
      <c r="D773" s="10"/>
      <c r="E773" s="10"/>
      <c r="F773" s="10"/>
      <c r="G773" s="11"/>
      <c r="H773" s="11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6.5" customHeight="1" x14ac:dyDescent="0.3">
      <c r="A774" s="10"/>
      <c r="B774" s="14"/>
      <c r="C774" s="10"/>
      <c r="D774" s="10"/>
      <c r="E774" s="10"/>
      <c r="F774" s="10"/>
      <c r="G774" s="11"/>
      <c r="H774" s="11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6.5" customHeight="1" x14ac:dyDescent="0.3">
      <c r="A775" s="10"/>
      <c r="B775" s="14"/>
      <c r="C775" s="10"/>
      <c r="D775" s="10"/>
      <c r="E775" s="10"/>
      <c r="F775" s="10"/>
      <c r="G775" s="11"/>
      <c r="H775" s="11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6.5" customHeight="1" x14ac:dyDescent="0.3">
      <c r="A776" s="10"/>
      <c r="B776" s="14"/>
      <c r="C776" s="10"/>
      <c r="D776" s="10"/>
      <c r="E776" s="10"/>
      <c r="F776" s="10"/>
      <c r="G776" s="11"/>
      <c r="H776" s="11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6.5" customHeight="1" x14ac:dyDescent="0.3">
      <c r="A777" s="10"/>
      <c r="B777" s="14"/>
      <c r="C777" s="10"/>
      <c r="D777" s="10"/>
      <c r="E777" s="10"/>
      <c r="F777" s="10"/>
      <c r="G777" s="11"/>
      <c r="H777" s="11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6.5" customHeight="1" x14ac:dyDescent="0.3">
      <c r="A778" s="10"/>
      <c r="B778" s="14"/>
      <c r="C778" s="10"/>
      <c r="D778" s="10"/>
      <c r="E778" s="10"/>
      <c r="F778" s="10"/>
      <c r="G778" s="11"/>
      <c r="H778" s="11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6.5" customHeight="1" x14ac:dyDescent="0.3">
      <c r="A779" s="10"/>
      <c r="B779" s="14"/>
      <c r="C779" s="10"/>
      <c r="D779" s="10"/>
      <c r="E779" s="10"/>
      <c r="F779" s="10"/>
      <c r="G779" s="11"/>
      <c r="H779" s="11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6.5" customHeight="1" x14ac:dyDescent="0.3">
      <c r="A780" s="10"/>
      <c r="B780" s="14"/>
      <c r="C780" s="10"/>
      <c r="D780" s="10"/>
      <c r="E780" s="10"/>
      <c r="F780" s="10"/>
      <c r="G780" s="11"/>
      <c r="H780" s="11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6.5" customHeight="1" x14ac:dyDescent="0.3">
      <c r="A781" s="10"/>
      <c r="B781" s="14"/>
      <c r="C781" s="10"/>
      <c r="D781" s="10"/>
      <c r="E781" s="10"/>
      <c r="F781" s="10"/>
      <c r="G781" s="11"/>
      <c r="H781" s="11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6.5" customHeight="1" x14ac:dyDescent="0.3">
      <c r="A782" s="10"/>
      <c r="B782" s="14"/>
      <c r="C782" s="10"/>
      <c r="D782" s="10"/>
      <c r="E782" s="10"/>
      <c r="F782" s="10"/>
      <c r="G782" s="11"/>
      <c r="H782" s="11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6.5" customHeight="1" x14ac:dyDescent="0.3">
      <c r="A783" s="10"/>
      <c r="B783" s="14"/>
      <c r="C783" s="10"/>
      <c r="D783" s="10"/>
      <c r="E783" s="10"/>
      <c r="F783" s="10"/>
      <c r="G783" s="11"/>
      <c r="H783" s="11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6.5" customHeight="1" x14ac:dyDescent="0.3">
      <c r="A784" s="10"/>
      <c r="B784" s="14"/>
      <c r="C784" s="10"/>
      <c r="D784" s="10"/>
      <c r="E784" s="10"/>
      <c r="F784" s="10"/>
      <c r="G784" s="11"/>
      <c r="H784" s="11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6.5" customHeight="1" x14ac:dyDescent="0.3">
      <c r="A785" s="10"/>
      <c r="B785" s="14"/>
      <c r="C785" s="10"/>
      <c r="D785" s="10"/>
      <c r="E785" s="10"/>
      <c r="F785" s="10"/>
      <c r="G785" s="11"/>
      <c r="H785" s="11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6.5" customHeight="1" x14ac:dyDescent="0.3">
      <c r="A786" s="10"/>
      <c r="B786" s="14"/>
      <c r="C786" s="10"/>
      <c r="D786" s="10"/>
      <c r="E786" s="10"/>
      <c r="F786" s="10"/>
      <c r="G786" s="11"/>
      <c r="H786" s="11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6.5" customHeight="1" x14ac:dyDescent="0.3">
      <c r="A787" s="10"/>
      <c r="B787" s="14"/>
      <c r="C787" s="10"/>
      <c r="D787" s="10"/>
      <c r="E787" s="10"/>
      <c r="F787" s="10"/>
      <c r="G787" s="11"/>
      <c r="H787" s="11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6.5" customHeight="1" x14ac:dyDescent="0.3">
      <c r="A788" s="10"/>
      <c r="B788" s="14"/>
      <c r="C788" s="10"/>
      <c r="D788" s="10"/>
      <c r="E788" s="10"/>
      <c r="F788" s="10"/>
      <c r="G788" s="11"/>
      <c r="H788" s="11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6.5" customHeight="1" x14ac:dyDescent="0.3">
      <c r="A789" s="10"/>
      <c r="B789" s="14"/>
      <c r="C789" s="10"/>
      <c r="D789" s="10"/>
      <c r="E789" s="10"/>
      <c r="F789" s="10"/>
      <c r="G789" s="11"/>
      <c r="H789" s="11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6.5" customHeight="1" x14ac:dyDescent="0.3">
      <c r="A790" s="10"/>
      <c r="B790" s="14"/>
      <c r="C790" s="10"/>
      <c r="D790" s="10"/>
      <c r="E790" s="10"/>
      <c r="F790" s="10"/>
      <c r="G790" s="11"/>
      <c r="H790" s="11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6.5" customHeight="1" x14ac:dyDescent="0.3">
      <c r="A791" s="10"/>
      <c r="B791" s="14"/>
      <c r="C791" s="10"/>
      <c r="D791" s="10"/>
      <c r="E791" s="10"/>
      <c r="F791" s="10"/>
      <c r="G791" s="11"/>
      <c r="H791" s="11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6.5" customHeight="1" x14ac:dyDescent="0.3">
      <c r="A792" s="10"/>
      <c r="B792" s="14"/>
      <c r="C792" s="10"/>
      <c r="D792" s="10"/>
      <c r="E792" s="10"/>
      <c r="F792" s="10"/>
      <c r="G792" s="11"/>
      <c r="H792" s="11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6.5" customHeight="1" x14ac:dyDescent="0.3">
      <c r="A793" s="10"/>
      <c r="B793" s="14"/>
      <c r="C793" s="10"/>
      <c r="D793" s="10"/>
      <c r="E793" s="10"/>
      <c r="F793" s="10"/>
      <c r="G793" s="11"/>
      <c r="H793" s="11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6.5" customHeight="1" x14ac:dyDescent="0.3">
      <c r="A794" s="10"/>
      <c r="B794" s="14"/>
      <c r="C794" s="10"/>
      <c r="D794" s="10"/>
      <c r="E794" s="10"/>
      <c r="F794" s="10"/>
      <c r="G794" s="11"/>
      <c r="H794" s="11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6.5" customHeight="1" x14ac:dyDescent="0.3">
      <c r="A795" s="10"/>
      <c r="B795" s="14"/>
      <c r="C795" s="10"/>
      <c r="D795" s="10"/>
      <c r="E795" s="10"/>
      <c r="F795" s="10"/>
      <c r="G795" s="11"/>
      <c r="H795" s="11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6.5" customHeight="1" x14ac:dyDescent="0.3">
      <c r="A796" s="10"/>
      <c r="B796" s="14"/>
      <c r="C796" s="10"/>
      <c r="D796" s="10"/>
      <c r="E796" s="10"/>
      <c r="F796" s="10"/>
      <c r="G796" s="11"/>
      <c r="H796" s="11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6.5" customHeight="1" x14ac:dyDescent="0.3">
      <c r="A797" s="10"/>
      <c r="B797" s="14"/>
      <c r="C797" s="10"/>
      <c r="D797" s="10"/>
      <c r="E797" s="10"/>
      <c r="F797" s="10"/>
      <c r="G797" s="11"/>
      <c r="H797" s="11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6.5" customHeight="1" x14ac:dyDescent="0.3">
      <c r="A798" s="10"/>
      <c r="B798" s="14"/>
      <c r="C798" s="10"/>
      <c r="D798" s="10"/>
      <c r="E798" s="10"/>
      <c r="F798" s="10"/>
      <c r="G798" s="11"/>
      <c r="H798" s="11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6.5" customHeight="1" x14ac:dyDescent="0.3">
      <c r="A799" s="10"/>
      <c r="B799" s="14"/>
      <c r="C799" s="10"/>
      <c r="D799" s="10"/>
      <c r="E799" s="10"/>
      <c r="F799" s="10"/>
      <c r="G799" s="11"/>
      <c r="H799" s="11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6.5" customHeight="1" x14ac:dyDescent="0.3">
      <c r="A800" s="10"/>
      <c r="B800" s="14"/>
      <c r="C800" s="10"/>
      <c r="D800" s="10"/>
      <c r="E800" s="10"/>
      <c r="F800" s="10"/>
      <c r="G800" s="11"/>
      <c r="H800" s="11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6.5" customHeight="1" x14ac:dyDescent="0.3">
      <c r="A801" s="10"/>
      <c r="B801" s="14"/>
      <c r="C801" s="10"/>
      <c r="D801" s="10"/>
      <c r="E801" s="10"/>
      <c r="F801" s="10"/>
      <c r="G801" s="11"/>
      <c r="H801" s="11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6.5" customHeight="1" x14ac:dyDescent="0.3">
      <c r="A802" s="10"/>
      <c r="B802" s="14"/>
      <c r="C802" s="10"/>
      <c r="D802" s="10"/>
      <c r="E802" s="10"/>
      <c r="F802" s="10"/>
      <c r="G802" s="11"/>
      <c r="H802" s="11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6.5" customHeight="1" x14ac:dyDescent="0.3">
      <c r="A803" s="10"/>
      <c r="B803" s="14"/>
      <c r="C803" s="10"/>
      <c r="D803" s="10"/>
      <c r="E803" s="10"/>
      <c r="F803" s="10"/>
      <c r="G803" s="11"/>
      <c r="H803" s="11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6.5" customHeight="1" x14ac:dyDescent="0.3">
      <c r="A804" s="10"/>
      <c r="B804" s="14"/>
      <c r="C804" s="10"/>
      <c r="D804" s="10"/>
      <c r="E804" s="10"/>
      <c r="F804" s="10"/>
      <c r="G804" s="11"/>
      <c r="H804" s="11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6.5" customHeight="1" x14ac:dyDescent="0.3">
      <c r="A805" s="10"/>
      <c r="B805" s="14"/>
      <c r="C805" s="10"/>
      <c r="D805" s="10"/>
      <c r="E805" s="10"/>
      <c r="F805" s="10"/>
      <c r="G805" s="11"/>
      <c r="H805" s="11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6.5" customHeight="1" x14ac:dyDescent="0.3">
      <c r="A806" s="10"/>
      <c r="B806" s="14"/>
      <c r="C806" s="10"/>
      <c r="D806" s="10"/>
      <c r="E806" s="10"/>
      <c r="F806" s="10"/>
      <c r="G806" s="11"/>
      <c r="H806" s="11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6.5" customHeight="1" x14ac:dyDescent="0.3">
      <c r="A807" s="10"/>
      <c r="B807" s="14"/>
      <c r="C807" s="10"/>
      <c r="D807" s="10"/>
      <c r="E807" s="10"/>
      <c r="F807" s="10"/>
      <c r="G807" s="11"/>
      <c r="H807" s="11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6.5" customHeight="1" x14ac:dyDescent="0.3">
      <c r="A808" s="10"/>
      <c r="B808" s="14"/>
      <c r="C808" s="10"/>
      <c r="D808" s="10"/>
      <c r="E808" s="10"/>
      <c r="F808" s="10"/>
      <c r="G808" s="11"/>
      <c r="H808" s="11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6.5" customHeight="1" x14ac:dyDescent="0.3">
      <c r="A809" s="10"/>
      <c r="B809" s="14"/>
      <c r="C809" s="10"/>
      <c r="D809" s="10"/>
      <c r="E809" s="10"/>
      <c r="F809" s="10"/>
      <c r="G809" s="11"/>
      <c r="H809" s="11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6.5" customHeight="1" x14ac:dyDescent="0.3">
      <c r="A810" s="10"/>
      <c r="B810" s="14"/>
      <c r="C810" s="10"/>
      <c r="D810" s="10"/>
      <c r="E810" s="10"/>
      <c r="F810" s="10"/>
      <c r="G810" s="11"/>
      <c r="H810" s="11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6.5" customHeight="1" x14ac:dyDescent="0.3">
      <c r="A811" s="10"/>
      <c r="B811" s="14"/>
      <c r="C811" s="10"/>
      <c r="D811" s="10"/>
      <c r="E811" s="10"/>
      <c r="F811" s="10"/>
      <c r="G811" s="11"/>
      <c r="H811" s="11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6.5" customHeight="1" x14ac:dyDescent="0.3">
      <c r="A812" s="10"/>
      <c r="B812" s="14"/>
      <c r="C812" s="10"/>
      <c r="D812" s="10"/>
      <c r="E812" s="10"/>
      <c r="F812" s="10"/>
      <c r="G812" s="11"/>
      <c r="H812" s="11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6.5" customHeight="1" x14ac:dyDescent="0.3">
      <c r="A813" s="10"/>
      <c r="B813" s="14"/>
      <c r="C813" s="10"/>
      <c r="D813" s="10"/>
      <c r="E813" s="10"/>
      <c r="F813" s="10"/>
      <c r="G813" s="11"/>
      <c r="H813" s="11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6.5" customHeight="1" x14ac:dyDescent="0.3">
      <c r="A814" s="10"/>
      <c r="B814" s="14"/>
      <c r="C814" s="10"/>
      <c r="D814" s="10"/>
      <c r="E814" s="10"/>
      <c r="F814" s="10"/>
      <c r="G814" s="11"/>
      <c r="H814" s="11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6.5" customHeight="1" x14ac:dyDescent="0.3">
      <c r="A815" s="10"/>
      <c r="B815" s="14"/>
      <c r="C815" s="10"/>
      <c r="D815" s="10"/>
      <c r="E815" s="10"/>
      <c r="F815" s="10"/>
      <c r="G815" s="11"/>
      <c r="H815" s="11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6.5" customHeight="1" x14ac:dyDescent="0.3">
      <c r="A816" s="10"/>
      <c r="B816" s="14"/>
      <c r="C816" s="10"/>
      <c r="D816" s="10"/>
      <c r="E816" s="10"/>
      <c r="F816" s="10"/>
      <c r="G816" s="11"/>
      <c r="H816" s="11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6.5" customHeight="1" x14ac:dyDescent="0.3">
      <c r="A817" s="10"/>
      <c r="B817" s="14"/>
      <c r="C817" s="10"/>
      <c r="D817" s="10"/>
      <c r="E817" s="10"/>
      <c r="F817" s="10"/>
      <c r="G817" s="11"/>
      <c r="H817" s="11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6.5" customHeight="1" x14ac:dyDescent="0.3">
      <c r="A818" s="10"/>
      <c r="B818" s="14"/>
      <c r="C818" s="10"/>
      <c r="D818" s="10"/>
      <c r="E818" s="10"/>
      <c r="F818" s="10"/>
      <c r="G818" s="11"/>
      <c r="H818" s="11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6.5" customHeight="1" x14ac:dyDescent="0.3">
      <c r="A819" s="10"/>
      <c r="B819" s="14"/>
      <c r="C819" s="10"/>
      <c r="D819" s="10"/>
      <c r="E819" s="10"/>
      <c r="F819" s="10"/>
      <c r="G819" s="11"/>
      <c r="H819" s="11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6.5" customHeight="1" x14ac:dyDescent="0.3">
      <c r="A820" s="10"/>
      <c r="B820" s="14"/>
      <c r="C820" s="10"/>
      <c r="D820" s="10"/>
      <c r="E820" s="10"/>
      <c r="F820" s="10"/>
      <c r="G820" s="11"/>
      <c r="H820" s="11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6.5" customHeight="1" x14ac:dyDescent="0.3">
      <c r="A821" s="10"/>
      <c r="B821" s="14"/>
      <c r="C821" s="10"/>
      <c r="D821" s="10"/>
      <c r="E821" s="10"/>
      <c r="F821" s="10"/>
      <c r="G821" s="11"/>
      <c r="H821" s="11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6.5" customHeight="1" x14ac:dyDescent="0.3">
      <c r="A822" s="10"/>
      <c r="B822" s="14"/>
      <c r="C822" s="10"/>
      <c r="D822" s="10"/>
      <c r="E822" s="10"/>
      <c r="F822" s="10"/>
      <c r="G822" s="11"/>
      <c r="H822" s="11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6.5" customHeight="1" x14ac:dyDescent="0.3">
      <c r="A823" s="10"/>
      <c r="B823" s="14"/>
      <c r="C823" s="10"/>
      <c r="D823" s="10"/>
      <c r="E823" s="10"/>
      <c r="F823" s="10"/>
      <c r="G823" s="11"/>
      <c r="H823" s="11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6.5" customHeight="1" x14ac:dyDescent="0.3">
      <c r="A824" s="10"/>
      <c r="B824" s="14"/>
      <c r="C824" s="10"/>
      <c r="D824" s="10"/>
      <c r="E824" s="10"/>
      <c r="F824" s="10"/>
      <c r="G824" s="11"/>
      <c r="H824" s="11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6.5" customHeight="1" x14ac:dyDescent="0.3">
      <c r="A825" s="10"/>
      <c r="B825" s="14"/>
      <c r="C825" s="10"/>
      <c r="D825" s="10"/>
      <c r="E825" s="10"/>
      <c r="F825" s="10"/>
      <c r="G825" s="11"/>
      <c r="H825" s="11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6.5" customHeight="1" x14ac:dyDescent="0.3">
      <c r="A826" s="10"/>
      <c r="B826" s="14"/>
      <c r="C826" s="10"/>
      <c r="D826" s="10"/>
      <c r="E826" s="10"/>
      <c r="F826" s="10"/>
      <c r="G826" s="11"/>
      <c r="H826" s="11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6.5" customHeight="1" x14ac:dyDescent="0.3">
      <c r="A827" s="10"/>
      <c r="B827" s="14"/>
      <c r="C827" s="10"/>
      <c r="D827" s="10"/>
      <c r="E827" s="10"/>
      <c r="F827" s="10"/>
      <c r="G827" s="11"/>
      <c r="H827" s="11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6.5" customHeight="1" x14ac:dyDescent="0.3">
      <c r="A828" s="10"/>
      <c r="B828" s="14"/>
      <c r="C828" s="10"/>
      <c r="D828" s="10"/>
      <c r="E828" s="10"/>
      <c r="F828" s="10"/>
      <c r="G828" s="11"/>
      <c r="H828" s="11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6.5" customHeight="1" x14ac:dyDescent="0.3">
      <c r="A829" s="10"/>
      <c r="B829" s="14"/>
      <c r="C829" s="10"/>
      <c r="D829" s="10"/>
      <c r="E829" s="10"/>
      <c r="F829" s="10"/>
      <c r="G829" s="11"/>
      <c r="H829" s="11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6.5" customHeight="1" x14ac:dyDescent="0.3">
      <c r="A830" s="10"/>
      <c r="B830" s="14"/>
      <c r="C830" s="10"/>
      <c r="D830" s="10"/>
      <c r="E830" s="10"/>
      <c r="F830" s="10"/>
      <c r="G830" s="11"/>
      <c r="H830" s="11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6.5" customHeight="1" x14ac:dyDescent="0.3">
      <c r="A831" s="10"/>
      <c r="B831" s="14"/>
      <c r="C831" s="10"/>
      <c r="D831" s="10"/>
      <c r="E831" s="10"/>
      <c r="F831" s="10"/>
      <c r="G831" s="11"/>
      <c r="H831" s="11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6.5" customHeight="1" x14ac:dyDescent="0.3">
      <c r="A832" s="10"/>
      <c r="B832" s="14"/>
      <c r="C832" s="10"/>
      <c r="D832" s="10"/>
      <c r="E832" s="10"/>
      <c r="F832" s="10"/>
      <c r="G832" s="11"/>
      <c r="H832" s="11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6.5" customHeight="1" x14ac:dyDescent="0.3">
      <c r="A833" s="10"/>
      <c r="B833" s="14"/>
      <c r="C833" s="10"/>
      <c r="D833" s="10"/>
      <c r="E833" s="10"/>
      <c r="F833" s="10"/>
      <c r="G833" s="11"/>
      <c r="H833" s="11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6.5" customHeight="1" x14ac:dyDescent="0.3">
      <c r="A834" s="10"/>
      <c r="B834" s="14"/>
      <c r="C834" s="10"/>
      <c r="D834" s="10"/>
      <c r="E834" s="10"/>
      <c r="F834" s="10"/>
      <c r="G834" s="11"/>
      <c r="H834" s="11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6.5" customHeight="1" x14ac:dyDescent="0.3">
      <c r="A835" s="10"/>
      <c r="B835" s="14"/>
      <c r="C835" s="10"/>
      <c r="D835" s="10"/>
      <c r="E835" s="10"/>
      <c r="F835" s="10"/>
      <c r="G835" s="11"/>
      <c r="H835" s="11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6.5" customHeight="1" x14ac:dyDescent="0.3">
      <c r="A836" s="10"/>
      <c r="B836" s="14"/>
      <c r="C836" s="10"/>
      <c r="D836" s="10"/>
      <c r="E836" s="10"/>
      <c r="F836" s="10"/>
      <c r="G836" s="11"/>
      <c r="H836" s="11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6.5" customHeight="1" x14ac:dyDescent="0.3">
      <c r="A837" s="10"/>
      <c r="B837" s="14"/>
      <c r="C837" s="10"/>
      <c r="D837" s="10"/>
      <c r="E837" s="10"/>
      <c r="F837" s="10"/>
      <c r="G837" s="11"/>
      <c r="H837" s="11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6.5" customHeight="1" x14ac:dyDescent="0.3">
      <c r="A838" s="10"/>
      <c r="B838" s="14"/>
      <c r="C838" s="10"/>
      <c r="D838" s="10"/>
      <c r="E838" s="10"/>
      <c r="F838" s="10"/>
      <c r="G838" s="11"/>
      <c r="H838" s="11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6.5" customHeight="1" x14ac:dyDescent="0.3">
      <c r="A839" s="10"/>
      <c r="B839" s="14"/>
      <c r="C839" s="10"/>
      <c r="D839" s="10"/>
      <c r="E839" s="10"/>
      <c r="F839" s="10"/>
      <c r="G839" s="11"/>
      <c r="H839" s="11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6.5" customHeight="1" x14ac:dyDescent="0.3">
      <c r="A840" s="10"/>
      <c r="B840" s="14"/>
      <c r="C840" s="10"/>
      <c r="D840" s="10"/>
      <c r="E840" s="10"/>
      <c r="F840" s="10"/>
      <c r="G840" s="11"/>
      <c r="H840" s="11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6.5" customHeight="1" x14ac:dyDescent="0.3">
      <c r="A841" s="10"/>
      <c r="B841" s="14"/>
      <c r="C841" s="10"/>
      <c r="D841" s="10"/>
      <c r="E841" s="10"/>
      <c r="F841" s="10"/>
      <c r="G841" s="11"/>
      <c r="H841" s="11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6.5" customHeight="1" x14ac:dyDescent="0.3">
      <c r="A842" s="10"/>
      <c r="B842" s="14"/>
      <c r="C842" s="10"/>
      <c r="D842" s="10"/>
      <c r="E842" s="10"/>
      <c r="F842" s="10"/>
      <c r="G842" s="11"/>
      <c r="H842" s="11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6.5" customHeight="1" x14ac:dyDescent="0.3">
      <c r="A843" s="10"/>
      <c r="B843" s="14"/>
      <c r="C843" s="10"/>
      <c r="D843" s="10"/>
      <c r="E843" s="10"/>
      <c r="F843" s="10"/>
      <c r="G843" s="11"/>
      <c r="H843" s="11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6.5" customHeight="1" x14ac:dyDescent="0.3">
      <c r="A844" s="10"/>
      <c r="B844" s="14"/>
      <c r="C844" s="10"/>
      <c r="D844" s="10"/>
      <c r="E844" s="10"/>
      <c r="F844" s="10"/>
      <c r="G844" s="11"/>
      <c r="H844" s="11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6.5" customHeight="1" x14ac:dyDescent="0.3">
      <c r="A845" s="10"/>
      <c r="B845" s="14"/>
      <c r="C845" s="10"/>
      <c r="D845" s="10"/>
      <c r="E845" s="10"/>
      <c r="F845" s="10"/>
      <c r="G845" s="11"/>
      <c r="H845" s="11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6.5" customHeight="1" x14ac:dyDescent="0.3">
      <c r="A846" s="10"/>
      <c r="B846" s="14"/>
      <c r="C846" s="10"/>
      <c r="D846" s="10"/>
      <c r="E846" s="10"/>
      <c r="F846" s="10"/>
      <c r="G846" s="11"/>
      <c r="H846" s="11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6.5" customHeight="1" x14ac:dyDescent="0.3">
      <c r="A847" s="10"/>
      <c r="B847" s="14"/>
      <c r="C847" s="10"/>
      <c r="D847" s="10"/>
      <c r="E847" s="10"/>
      <c r="F847" s="10"/>
      <c r="G847" s="11"/>
      <c r="H847" s="11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6.5" customHeight="1" x14ac:dyDescent="0.3">
      <c r="A848" s="10"/>
      <c r="B848" s="14"/>
      <c r="C848" s="10"/>
      <c r="D848" s="10"/>
      <c r="E848" s="10"/>
      <c r="F848" s="10"/>
      <c r="G848" s="11"/>
      <c r="H848" s="11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6.5" customHeight="1" x14ac:dyDescent="0.3">
      <c r="A849" s="10"/>
      <c r="B849" s="14"/>
      <c r="C849" s="10"/>
      <c r="D849" s="10"/>
      <c r="E849" s="10"/>
      <c r="F849" s="10"/>
      <c r="G849" s="11"/>
      <c r="H849" s="11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6.5" customHeight="1" x14ac:dyDescent="0.3">
      <c r="A850" s="10"/>
      <c r="B850" s="14"/>
      <c r="C850" s="10"/>
      <c r="D850" s="10"/>
      <c r="E850" s="10"/>
      <c r="F850" s="10"/>
      <c r="G850" s="11"/>
      <c r="H850" s="11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6.5" customHeight="1" x14ac:dyDescent="0.3">
      <c r="A851" s="10"/>
      <c r="B851" s="14"/>
      <c r="C851" s="10"/>
      <c r="D851" s="10"/>
      <c r="E851" s="10"/>
      <c r="F851" s="10"/>
      <c r="G851" s="11"/>
      <c r="H851" s="11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6.5" customHeight="1" x14ac:dyDescent="0.3">
      <c r="A852" s="10"/>
      <c r="B852" s="14"/>
      <c r="C852" s="10"/>
      <c r="D852" s="10"/>
      <c r="E852" s="10"/>
      <c r="F852" s="10"/>
      <c r="G852" s="11"/>
      <c r="H852" s="11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6.5" customHeight="1" x14ac:dyDescent="0.3">
      <c r="A853" s="10"/>
      <c r="B853" s="14"/>
      <c r="C853" s="10"/>
      <c r="D853" s="10"/>
      <c r="E853" s="10"/>
      <c r="F853" s="10"/>
      <c r="G853" s="11"/>
      <c r="H853" s="11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6.5" customHeight="1" x14ac:dyDescent="0.3">
      <c r="A854" s="10"/>
      <c r="B854" s="14"/>
      <c r="C854" s="10"/>
      <c r="D854" s="10"/>
      <c r="E854" s="10"/>
      <c r="F854" s="10"/>
      <c r="G854" s="11"/>
      <c r="H854" s="11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6.5" customHeight="1" x14ac:dyDescent="0.3">
      <c r="A855" s="10"/>
      <c r="B855" s="14"/>
      <c r="C855" s="10"/>
      <c r="D855" s="10"/>
      <c r="E855" s="10"/>
      <c r="F855" s="10"/>
      <c r="G855" s="11"/>
      <c r="H855" s="11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6.5" customHeight="1" x14ac:dyDescent="0.3">
      <c r="A856" s="10"/>
      <c r="B856" s="14"/>
      <c r="C856" s="10"/>
      <c r="D856" s="10"/>
      <c r="E856" s="10"/>
      <c r="F856" s="10"/>
      <c r="G856" s="11"/>
      <c r="H856" s="11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6.5" customHeight="1" x14ac:dyDescent="0.3">
      <c r="A857" s="10"/>
      <c r="B857" s="14"/>
      <c r="C857" s="10"/>
      <c r="D857" s="10"/>
      <c r="E857" s="10"/>
      <c r="F857" s="10"/>
      <c r="G857" s="11"/>
      <c r="H857" s="11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6.5" customHeight="1" x14ac:dyDescent="0.3">
      <c r="A858" s="10"/>
      <c r="B858" s="14"/>
      <c r="C858" s="10"/>
      <c r="D858" s="10"/>
      <c r="E858" s="10"/>
      <c r="F858" s="10"/>
      <c r="G858" s="11"/>
      <c r="H858" s="11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6.5" customHeight="1" x14ac:dyDescent="0.3">
      <c r="A859" s="10"/>
      <c r="B859" s="14"/>
      <c r="C859" s="10"/>
      <c r="D859" s="10"/>
      <c r="E859" s="10"/>
      <c r="F859" s="10"/>
      <c r="G859" s="11"/>
      <c r="H859" s="11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6.5" customHeight="1" x14ac:dyDescent="0.3">
      <c r="A860" s="10"/>
      <c r="B860" s="14"/>
      <c r="C860" s="10"/>
      <c r="D860" s="10"/>
      <c r="E860" s="10"/>
      <c r="F860" s="10"/>
      <c r="G860" s="11"/>
      <c r="H860" s="11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6.5" customHeight="1" x14ac:dyDescent="0.3">
      <c r="A861" s="10"/>
      <c r="B861" s="14"/>
      <c r="C861" s="10"/>
      <c r="D861" s="10"/>
      <c r="E861" s="10"/>
      <c r="F861" s="10"/>
      <c r="G861" s="11"/>
      <c r="H861" s="11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6.5" customHeight="1" x14ac:dyDescent="0.3">
      <c r="A862" s="10"/>
      <c r="B862" s="14"/>
      <c r="C862" s="10"/>
      <c r="D862" s="10"/>
      <c r="E862" s="10"/>
      <c r="F862" s="10"/>
      <c r="G862" s="11"/>
      <c r="H862" s="11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6.5" customHeight="1" x14ac:dyDescent="0.3">
      <c r="A863" s="10"/>
      <c r="B863" s="14"/>
      <c r="C863" s="10"/>
      <c r="D863" s="10"/>
      <c r="E863" s="10"/>
      <c r="F863" s="10"/>
      <c r="G863" s="11"/>
      <c r="H863" s="11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6.5" customHeight="1" x14ac:dyDescent="0.3">
      <c r="A864" s="10"/>
      <c r="B864" s="14"/>
      <c r="C864" s="10"/>
      <c r="D864" s="10"/>
      <c r="E864" s="10"/>
      <c r="F864" s="10"/>
      <c r="G864" s="11"/>
      <c r="H864" s="11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6.5" customHeight="1" x14ac:dyDescent="0.3">
      <c r="A865" s="10"/>
      <c r="B865" s="14"/>
      <c r="C865" s="10"/>
      <c r="D865" s="10"/>
      <c r="E865" s="10"/>
      <c r="F865" s="10"/>
      <c r="G865" s="11"/>
      <c r="H865" s="11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6.5" customHeight="1" x14ac:dyDescent="0.3">
      <c r="A866" s="10"/>
      <c r="B866" s="14"/>
      <c r="C866" s="10"/>
      <c r="D866" s="10"/>
      <c r="E866" s="10"/>
      <c r="F866" s="10"/>
      <c r="G866" s="11"/>
      <c r="H866" s="11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6.5" customHeight="1" x14ac:dyDescent="0.3">
      <c r="A867" s="10"/>
      <c r="B867" s="14"/>
      <c r="C867" s="10"/>
      <c r="D867" s="10"/>
      <c r="E867" s="10"/>
      <c r="F867" s="10"/>
      <c r="G867" s="11"/>
      <c r="H867" s="11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6.5" customHeight="1" x14ac:dyDescent="0.3">
      <c r="A868" s="10"/>
      <c r="B868" s="14"/>
      <c r="C868" s="10"/>
      <c r="D868" s="10"/>
      <c r="E868" s="10"/>
      <c r="F868" s="10"/>
      <c r="G868" s="11"/>
      <c r="H868" s="11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6.5" customHeight="1" x14ac:dyDescent="0.3">
      <c r="A869" s="10"/>
      <c r="B869" s="14"/>
      <c r="C869" s="10"/>
      <c r="D869" s="10"/>
      <c r="E869" s="10"/>
      <c r="F869" s="10"/>
      <c r="G869" s="11"/>
      <c r="H869" s="11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6.5" customHeight="1" x14ac:dyDescent="0.3">
      <c r="A870" s="10"/>
      <c r="B870" s="14"/>
      <c r="C870" s="10"/>
      <c r="D870" s="10"/>
      <c r="E870" s="10"/>
      <c r="F870" s="10"/>
      <c r="G870" s="11"/>
      <c r="H870" s="11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6.5" customHeight="1" x14ac:dyDescent="0.3">
      <c r="A871" s="10"/>
      <c r="B871" s="14"/>
      <c r="C871" s="10"/>
      <c r="D871" s="10"/>
      <c r="E871" s="10"/>
      <c r="F871" s="10"/>
      <c r="G871" s="11"/>
      <c r="H871" s="11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6.5" customHeight="1" x14ac:dyDescent="0.3">
      <c r="A872" s="10"/>
      <c r="B872" s="14"/>
      <c r="C872" s="10"/>
      <c r="D872" s="10"/>
      <c r="E872" s="10"/>
      <c r="F872" s="10"/>
      <c r="G872" s="11"/>
      <c r="H872" s="11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6.5" customHeight="1" x14ac:dyDescent="0.3">
      <c r="A873" s="10"/>
      <c r="B873" s="14"/>
      <c r="C873" s="10"/>
      <c r="D873" s="10"/>
      <c r="E873" s="10"/>
      <c r="F873" s="10"/>
      <c r="G873" s="11"/>
      <c r="H873" s="11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6.5" customHeight="1" x14ac:dyDescent="0.3">
      <c r="A874" s="10"/>
      <c r="B874" s="14"/>
      <c r="C874" s="10"/>
      <c r="D874" s="10"/>
      <c r="E874" s="10"/>
      <c r="F874" s="10"/>
      <c r="G874" s="11"/>
      <c r="H874" s="11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6.5" customHeight="1" x14ac:dyDescent="0.3">
      <c r="A875" s="10"/>
      <c r="B875" s="14"/>
      <c r="C875" s="10"/>
      <c r="D875" s="10"/>
      <c r="E875" s="10"/>
      <c r="F875" s="10"/>
      <c r="G875" s="11"/>
      <c r="H875" s="11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6.5" customHeight="1" x14ac:dyDescent="0.3">
      <c r="A876" s="10"/>
      <c r="B876" s="14"/>
      <c r="C876" s="10"/>
      <c r="D876" s="10"/>
      <c r="E876" s="10"/>
      <c r="F876" s="10"/>
      <c r="G876" s="11"/>
      <c r="H876" s="11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6.5" customHeight="1" x14ac:dyDescent="0.3">
      <c r="A877" s="10"/>
      <c r="B877" s="14"/>
      <c r="C877" s="10"/>
      <c r="D877" s="10"/>
      <c r="E877" s="10"/>
      <c r="F877" s="10"/>
      <c r="G877" s="11"/>
      <c r="H877" s="11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6.5" customHeight="1" x14ac:dyDescent="0.3">
      <c r="A878" s="10"/>
      <c r="B878" s="14"/>
      <c r="C878" s="10"/>
      <c r="D878" s="10"/>
      <c r="E878" s="10"/>
      <c r="F878" s="10"/>
      <c r="G878" s="11"/>
      <c r="H878" s="11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6.5" customHeight="1" x14ac:dyDescent="0.3">
      <c r="A879" s="10"/>
      <c r="B879" s="14"/>
      <c r="C879" s="10"/>
      <c r="D879" s="10"/>
      <c r="E879" s="10"/>
      <c r="F879" s="10"/>
      <c r="G879" s="11"/>
      <c r="H879" s="11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6.5" customHeight="1" x14ac:dyDescent="0.3">
      <c r="A880" s="10"/>
      <c r="B880" s="14"/>
      <c r="C880" s="10"/>
      <c r="D880" s="10"/>
      <c r="E880" s="10"/>
      <c r="F880" s="10"/>
      <c r="G880" s="11"/>
      <c r="H880" s="11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6.5" customHeight="1" x14ac:dyDescent="0.3">
      <c r="A881" s="10"/>
      <c r="B881" s="14"/>
      <c r="C881" s="10"/>
      <c r="D881" s="10"/>
      <c r="E881" s="10"/>
      <c r="F881" s="10"/>
      <c r="G881" s="11"/>
      <c r="H881" s="11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6.5" customHeight="1" x14ac:dyDescent="0.3">
      <c r="A882" s="10"/>
      <c r="B882" s="14"/>
      <c r="C882" s="10"/>
      <c r="D882" s="10"/>
      <c r="E882" s="10"/>
      <c r="F882" s="10"/>
      <c r="G882" s="11"/>
      <c r="H882" s="11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6.5" customHeight="1" x14ac:dyDescent="0.3">
      <c r="A883" s="10"/>
      <c r="B883" s="14"/>
      <c r="C883" s="10"/>
      <c r="D883" s="10"/>
      <c r="E883" s="10"/>
      <c r="F883" s="10"/>
      <c r="G883" s="11"/>
      <c r="H883" s="11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6.5" customHeight="1" x14ac:dyDescent="0.3">
      <c r="A884" s="10"/>
      <c r="B884" s="14"/>
      <c r="C884" s="10"/>
      <c r="D884" s="10"/>
      <c r="E884" s="10"/>
      <c r="F884" s="10"/>
      <c r="G884" s="11"/>
      <c r="H884" s="11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6.5" customHeight="1" x14ac:dyDescent="0.3">
      <c r="A885" s="10"/>
      <c r="B885" s="14"/>
      <c r="C885" s="10"/>
      <c r="D885" s="10"/>
      <c r="E885" s="10"/>
      <c r="F885" s="10"/>
      <c r="G885" s="11"/>
      <c r="H885" s="11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6.5" customHeight="1" x14ac:dyDescent="0.3">
      <c r="A886" s="10"/>
      <c r="B886" s="14"/>
      <c r="C886" s="10"/>
      <c r="D886" s="10"/>
      <c r="E886" s="10"/>
      <c r="F886" s="10"/>
      <c r="G886" s="11"/>
      <c r="H886" s="11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6.5" customHeight="1" x14ac:dyDescent="0.3">
      <c r="A887" s="10"/>
      <c r="B887" s="14"/>
      <c r="C887" s="10"/>
      <c r="D887" s="10"/>
      <c r="E887" s="10"/>
      <c r="F887" s="10"/>
      <c r="G887" s="11"/>
      <c r="H887" s="11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6.5" customHeight="1" x14ac:dyDescent="0.3">
      <c r="A888" s="10"/>
      <c r="B888" s="14"/>
      <c r="C888" s="10"/>
      <c r="D888" s="10"/>
      <c r="E888" s="10"/>
      <c r="F888" s="10"/>
      <c r="G888" s="11"/>
      <c r="H888" s="11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6.5" customHeight="1" x14ac:dyDescent="0.3">
      <c r="A889" s="10"/>
      <c r="B889" s="14"/>
      <c r="C889" s="10"/>
      <c r="D889" s="10"/>
      <c r="E889" s="10"/>
      <c r="F889" s="10"/>
      <c r="G889" s="11"/>
      <c r="H889" s="11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6.5" customHeight="1" x14ac:dyDescent="0.3">
      <c r="A890" s="10"/>
      <c r="B890" s="14"/>
      <c r="C890" s="10"/>
      <c r="D890" s="10"/>
      <c r="E890" s="10"/>
      <c r="F890" s="10"/>
      <c r="G890" s="11"/>
      <c r="H890" s="11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6.5" customHeight="1" x14ac:dyDescent="0.3">
      <c r="A891" s="10"/>
      <c r="B891" s="14"/>
      <c r="C891" s="10"/>
      <c r="D891" s="10"/>
      <c r="E891" s="10"/>
      <c r="F891" s="10"/>
      <c r="G891" s="11"/>
      <c r="H891" s="11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6.5" customHeight="1" x14ac:dyDescent="0.3">
      <c r="A892" s="10"/>
      <c r="B892" s="14"/>
      <c r="C892" s="10"/>
      <c r="D892" s="10"/>
      <c r="E892" s="10"/>
      <c r="F892" s="10"/>
      <c r="G892" s="11"/>
      <c r="H892" s="11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6.5" customHeight="1" x14ac:dyDescent="0.3">
      <c r="A893" s="10"/>
      <c r="B893" s="14"/>
      <c r="C893" s="10"/>
      <c r="D893" s="10"/>
      <c r="E893" s="10"/>
      <c r="F893" s="10"/>
      <c r="G893" s="11"/>
      <c r="H893" s="11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6.5" customHeight="1" x14ac:dyDescent="0.3">
      <c r="A894" s="10"/>
      <c r="B894" s="14"/>
      <c r="C894" s="10"/>
      <c r="D894" s="10"/>
      <c r="E894" s="10"/>
      <c r="F894" s="10"/>
      <c r="G894" s="11"/>
      <c r="H894" s="11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6.5" customHeight="1" x14ac:dyDescent="0.3">
      <c r="A895" s="10"/>
      <c r="B895" s="14"/>
      <c r="C895" s="10"/>
      <c r="D895" s="10"/>
      <c r="E895" s="10"/>
      <c r="F895" s="10"/>
      <c r="G895" s="11"/>
      <c r="H895" s="11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6.5" customHeight="1" x14ac:dyDescent="0.3">
      <c r="A896" s="10"/>
      <c r="B896" s="14"/>
      <c r="C896" s="10"/>
      <c r="D896" s="10"/>
      <c r="E896" s="10"/>
      <c r="F896" s="10"/>
      <c r="G896" s="11"/>
      <c r="H896" s="11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6.5" customHeight="1" x14ac:dyDescent="0.3">
      <c r="A897" s="10"/>
      <c r="B897" s="14"/>
      <c r="C897" s="10"/>
      <c r="D897" s="10"/>
      <c r="E897" s="10"/>
      <c r="F897" s="10"/>
      <c r="G897" s="11"/>
      <c r="H897" s="11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6.5" customHeight="1" x14ac:dyDescent="0.3">
      <c r="A898" s="10"/>
      <c r="B898" s="14"/>
      <c r="C898" s="10"/>
      <c r="D898" s="10"/>
      <c r="E898" s="10"/>
      <c r="F898" s="10"/>
      <c r="G898" s="11"/>
      <c r="H898" s="11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6.5" customHeight="1" x14ac:dyDescent="0.3">
      <c r="A899" s="10"/>
      <c r="B899" s="14"/>
      <c r="C899" s="10"/>
      <c r="D899" s="10"/>
      <c r="E899" s="10"/>
      <c r="F899" s="10"/>
      <c r="G899" s="11"/>
      <c r="H899" s="11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6.5" customHeight="1" x14ac:dyDescent="0.3">
      <c r="A900" s="10"/>
      <c r="B900" s="14"/>
      <c r="C900" s="10"/>
      <c r="D900" s="10"/>
      <c r="E900" s="10"/>
      <c r="F900" s="10"/>
      <c r="G900" s="11"/>
      <c r="H900" s="11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6.5" customHeight="1" x14ac:dyDescent="0.3">
      <c r="A901" s="10"/>
      <c r="B901" s="14"/>
      <c r="C901" s="10"/>
      <c r="D901" s="10"/>
      <c r="E901" s="10"/>
      <c r="F901" s="10"/>
      <c r="G901" s="11"/>
      <c r="H901" s="11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6.5" customHeight="1" x14ac:dyDescent="0.3">
      <c r="A902" s="10"/>
      <c r="B902" s="14"/>
      <c r="C902" s="10"/>
      <c r="D902" s="10"/>
      <c r="E902" s="10"/>
      <c r="F902" s="10"/>
      <c r="G902" s="11"/>
      <c r="H902" s="11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6.5" customHeight="1" x14ac:dyDescent="0.3">
      <c r="A903" s="10"/>
      <c r="B903" s="14"/>
      <c r="C903" s="10"/>
      <c r="D903" s="10"/>
      <c r="E903" s="10"/>
      <c r="F903" s="10"/>
      <c r="G903" s="11"/>
      <c r="H903" s="11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6.5" customHeight="1" x14ac:dyDescent="0.3">
      <c r="A904" s="10"/>
      <c r="B904" s="14"/>
      <c r="C904" s="10"/>
      <c r="D904" s="10"/>
      <c r="E904" s="10"/>
      <c r="F904" s="10"/>
      <c r="G904" s="11"/>
      <c r="H904" s="11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6.5" customHeight="1" x14ac:dyDescent="0.3">
      <c r="A905" s="10"/>
      <c r="B905" s="14"/>
      <c r="C905" s="10"/>
      <c r="D905" s="10"/>
      <c r="E905" s="10"/>
      <c r="F905" s="10"/>
      <c r="G905" s="11"/>
      <c r="H905" s="11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6.5" customHeight="1" x14ac:dyDescent="0.3">
      <c r="A906" s="10"/>
      <c r="B906" s="14"/>
      <c r="C906" s="10"/>
      <c r="D906" s="10"/>
      <c r="E906" s="10"/>
      <c r="F906" s="10"/>
      <c r="G906" s="11"/>
      <c r="H906" s="11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6.5" customHeight="1" x14ac:dyDescent="0.3">
      <c r="A907" s="10"/>
      <c r="B907" s="14"/>
      <c r="C907" s="10"/>
      <c r="D907" s="10"/>
      <c r="E907" s="10"/>
      <c r="F907" s="10"/>
      <c r="G907" s="11"/>
      <c r="H907" s="11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6.5" customHeight="1" x14ac:dyDescent="0.3">
      <c r="A908" s="10"/>
      <c r="B908" s="14"/>
      <c r="C908" s="10"/>
      <c r="D908" s="10"/>
      <c r="E908" s="10"/>
      <c r="F908" s="10"/>
      <c r="G908" s="11"/>
      <c r="H908" s="11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6.5" customHeight="1" x14ac:dyDescent="0.3">
      <c r="A909" s="10"/>
      <c r="B909" s="14"/>
      <c r="C909" s="10"/>
      <c r="D909" s="10"/>
      <c r="E909" s="10"/>
      <c r="F909" s="10"/>
      <c r="G909" s="11"/>
      <c r="H909" s="11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6.5" customHeight="1" x14ac:dyDescent="0.3">
      <c r="A910" s="10"/>
      <c r="B910" s="14"/>
      <c r="C910" s="10"/>
      <c r="D910" s="10"/>
      <c r="E910" s="10"/>
      <c r="F910" s="10"/>
      <c r="G910" s="11"/>
      <c r="H910" s="11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6.5" customHeight="1" x14ac:dyDescent="0.3">
      <c r="A911" s="10"/>
      <c r="B911" s="14"/>
      <c r="C911" s="10"/>
      <c r="D911" s="10"/>
      <c r="E911" s="10"/>
      <c r="F911" s="10"/>
      <c r="G911" s="11"/>
      <c r="H911" s="11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6.5" customHeight="1" x14ac:dyDescent="0.3">
      <c r="A912" s="10"/>
      <c r="B912" s="14"/>
      <c r="C912" s="10"/>
      <c r="D912" s="10"/>
      <c r="E912" s="10"/>
      <c r="F912" s="10"/>
      <c r="G912" s="11"/>
      <c r="H912" s="11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6.5" customHeight="1" x14ac:dyDescent="0.3">
      <c r="A913" s="10"/>
      <c r="B913" s="14"/>
      <c r="C913" s="10"/>
      <c r="D913" s="10"/>
      <c r="E913" s="10"/>
      <c r="F913" s="10"/>
      <c r="G913" s="11"/>
      <c r="H913" s="11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6.5" customHeight="1" x14ac:dyDescent="0.3">
      <c r="A914" s="10"/>
      <c r="B914" s="14"/>
      <c r="C914" s="10"/>
      <c r="D914" s="10"/>
      <c r="E914" s="10"/>
      <c r="F914" s="10"/>
      <c r="G914" s="11"/>
      <c r="H914" s="11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6.5" customHeight="1" x14ac:dyDescent="0.3">
      <c r="A915" s="10"/>
      <c r="B915" s="14"/>
      <c r="C915" s="10"/>
      <c r="D915" s="10"/>
      <c r="E915" s="10"/>
      <c r="F915" s="10"/>
      <c r="G915" s="11"/>
      <c r="H915" s="11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6.5" customHeight="1" x14ac:dyDescent="0.3">
      <c r="A916" s="10"/>
      <c r="B916" s="14"/>
      <c r="C916" s="10"/>
      <c r="D916" s="10"/>
      <c r="E916" s="10"/>
      <c r="F916" s="10"/>
      <c r="G916" s="11"/>
      <c r="H916" s="11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6.5" customHeight="1" x14ac:dyDescent="0.3">
      <c r="A917" s="10"/>
      <c r="B917" s="14"/>
      <c r="C917" s="10"/>
      <c r="D917" s="10"/>
      <c r="E917" s="10"/>
      <c r="F917" s="10"/>
      <c r="G917" s="11"/>
      <c r="H917" s="11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6.5" customHeight="1" x14ac:dyDescent="0.3">
      <c r="A918" s="10"/>
      <c r="B918" s="14"/>
      <c r="C918" s="10"/>
      <c r="D918" s="10"/>
      <c r="E918" s="10"/>
      <c r="F918" s="10"/>
      <c r="G918" s="11"/>
      <c r="H918" s="11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6.5" customHeight="1" x14ac:dyDescent="0.3">
      <c r="A919" s="10"/>
      <c r="B919" s="14"/>
      <c r="C919" s="10"/>
      <c r="D919" s="10"/>
      <c r="E919" s="10"/>
      <c r="F919" s="10"/>
      <c r="G919" s="11"/>
      <c r="H919" s="11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6.5" customHeight="1" x14ac:dyDescent="0.3">
      <c r="A920" s="10"/>
      <c r="B920" s="14"/>
      <c r="C920" s="10"/>
      <c r="D920" s="10"/>
      <c r="E920" s="10"/>
      <c r="F920" s="10"/>
      <c r="G920" s="11"/>
      <c r="H920" s="11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6.5" customHeight="1" x14ac:dyDescent="0.3">
      <c r="A921" s="10"/>
      <c r="B921" s="14"/>
      <c r="C921" s="10"/>
      <c r="D921" s="10"/>
      <c r="E921" s="10"/>
      <c r="F921" s="10"/>
      <c r="G921" s="11"/>
      <c r="H921" s="11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6.5" customHeight="1" x14ac:dyDescent="0.3">
      <c r="A922" s="10"/>
      <c r="B922" s="14"/>
      <c r="C922" s="10"/>
      <c r="D922" s="10"/>
      <c r="E922" s="10"/>
      <c r="F922" s="10"/>
      <c r="G922" s="11"/>
      <c r="H922" s="11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6.5" customHeight="1" x14ac:dyDescent="0.3">
      <c r="A923" s="10"/>
      <c r="B923" s="14"/>
      <c r="C923" s="10"/>
      <c r="D923" s="10"/>
      <c r="E923" s="10"/>
      <c r="F923" s="10"/>
      <c r="G923" s="11"/>
      <c r="H923" s="11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6.5" customHeight="1" x14ac:dyDescent="0.3">
      <c r="A924" s="10"/>
      <c r="B924" s="14"/>
      <c r="C924" s="10"/>
      <c r="D924" s="10"/>
      <c r="E924" s="10"/>
      <c r="F924" s="10"/>
      <c r="G924" s="11"/>
      <c r="H924" s="11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6.5" customHeight="1" x14ac:dyDescent="0.3">
      <c r="A925" s="10"/>
      <c r="B925" s="14"/>
      <c r="C925" s="10"/>
      <c r="D925" s="10"/>
      <c r="E925" s="10"/>
      <c r="F925" s="10"/>
      <c r="G925" s="11"/>
      <c r="H925" s="11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6.5" customHeight="1" x14ac:dyDescent="0.3">
      <c r="A926" s="10"/>
      <c r="B926" s="14"/>
      <c r="C926" s="10"/>
      <c r="D926" s="10"/>
      <c r="E926" s="10"/>
      <c r="F926" s="10"/>
      <c r="G926" s="11"/>
      <c r="H926" s="11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6.5" customHeight="1" x14ac:dyDescent="0.3">
      <c r="A927" s="10"/>
      <c r="B927" s="14"/>
      <c r="C927" s="10"/>
      <c r="D927" s="10"/>
      <c r="E927" s="10"/>
      <c r="F927" s="10"/>
      <c r="G927" s="11"/>
      <c r="H927" s="11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6.5" customHeight="1" x14ac:dyDescent="0.3">
      <c r="A928" s="10"/>
      <c r="B928" s="14"/>
      <c r="C928" s="10"/>
      <c r="D928" s="10"/>
      <c r="E928" s="10"/>
      <c r="F928" s="10"/>
      <c r="G928" s="11"/>
      <c r="H928" s="11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6.5" customHeight="1" x14ac:dyDescent="0.3">
      <c r="A929" s="10"/>
      <c r="B929" s="14"/>
      <c r="C929" s="10"/>
      <c r="D929" s="10"/>
      <c r="E929" s="10"/>
      <c r="F929" s="10"/>
      <c r="G929" s="11"/>
      <c r="H929" s="11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6.5" customHeight="1" x14ac:dyDescent="0.3">
      <c r="A930" s="10"/>
      <c r="B930" s="14"/>
      <c r="C930" s="10"/>
      <c r="D930" s="10"/>
      <c r="E930" s="10"/>
      <c r="F930" s="10"/>
      <c r="G930" s="11"/>
      <c r="H930" s="11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6.5" customHeight="1" x14ac:dyDescent="0.3">
      <c r="A931" s="10"/>
      <c r="B931" s="14"/>
      <c r="C931" s="10"/>
      <c r="D931" s="10"/>
      <c r="E931" s="10"/>
      <c r="F931" s="10"/>
      <c r="G931" s="11"/>
      <c r="H931" s="11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6.5" customHeight="1" x14ac:dyDescent="0.3">
      <c r="A932" s="10"/>
      <c r="B932" s="14"/>
      <c r="C932" s="10"/>
      <c r="D932" s="10"/>
      <c r="E932" s="10"/>
      <c r="F932" s="10"/>
      <c r="G932" s="11"/>
      <c r="H932" s="11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6.5" customHeight="1" x14ac:dyDescent="0.3">
      <c r="A933" s="10"/>
      <c r="B933" s="14"/>
      <c r="C933" s="10"/>
      <c r="D933" s="10"/>
      <c r="E933" s="10"/>
      <c r="F933" s="10"/>
      <c r="G933" s="11"/>
      <c r="H933" s="11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6.5" customHeight="1" x14ac:dyDescent="0.3">
      <c r="A934" s="10"/>
      <c r="B934" s="14"/>
      <c r="C934" s="10"/>
      <c r="D934" s="10"/>
      <c r="E934" s="10"/>
      <c r="F934" s="10"/>
      <c r="G934" s="11"/>
      <c r="H934" s="11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6.5" customHeight="1" x14ac:dyDescent="0.3">
      <c r="A935" s="10"/>
      <c r="B935" s="14"/>
      <c r="C935" s="10"/>
      <c r="D935" s="10"/>
      <c r="E935" s="10"/>
      <c r="F935" s="10"/>
      <c r="G935" s="11"/>
      <c r="H935" s="11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6.5" customHeight="1" x14ac:dyDescent="0.3">
      <c r="A936" s="10"/>
      <c r="B936" s="14"/>
      <c r="C936" s="10"/>
      <c r="D936" s="10"/>
      <c r="E936" s="10"/>
      <c r="F936" s="10"/>
      <c r="G936" s="11"/>
      <c r="H936" s="11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6.5" customHeight="1" x14ac:dyDescent="0.3">
      <c r="A937" s="10"/>
      <c r="B937" s="14"/>
      <c r="C937" s="10"/>
      <c r="D937" s="10"/>
      <c r="E937" s="10"/>
      <c r="F937" s="10"/>
      <c r="G937" s="11"/>
      <c r="H937" s="11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6.5" customHeight="1" x14ac:dyDescent="0.3">
      <c r="A938" s="10"/>
      <c r="B938" s="14"/>
      <c r="C938" s="10"/>
      <c r="D938" s="10"/>
      <c r="E938" s="10"/>
      <c r="F938" s="10"/>
      <c r="G938" s="11"/>
      <c r="H938" s="11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6.5" customHeight="1" x14ac:dyDescent="0.3">
      <c r="A939" s="10"/>
      <c r="B939" s="14"/>
      <c r="C939" s="10"/>
      <c r="D939" s="10"/>
      <c r="E939" s="10"/>
      <c r="F939" s="10"/>
      <c r="G939" s="11"/>
      <c r="H939" s="11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6.5" customHeight="1" x14ac:dyDescent="0.3">
      <c r="A940" s="10"/>
      <c r="B940" s="14"/>
      <c r="C940" s="10"/>
      <c r="D940" s="10"/>
      <c r="E940" s="10"/>
      <c r="F940" s="10"/>
      <c r="G940" s="11"/>
      <c r="H940" s="11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6.5" customHeight="1" x14ac:dyDescent="0.3">
      <c r="A941" s="10"/>
      <c r="B941" s="14"/>
      <c r="C941" s="10"/>
      <c r="D941" s="10"/>
      <c r="E941" s="10"/>
      <c r="F941" s="10"/>
      <c r="G941" s="11"/>
      <c r="H941" s="11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6.5" customHeight="1" x14ac:dyDescent="0.3">
      <c r="A942" s="10"/>
      <c r="B942" s="14"/>
      <c r="C942" s="10"/>
      <c r="D942" s="10"/>
      <c r="E942" s="10"/>
      <c r="F942" s="10"/>
      <c r="G942" s="11"/>
      <c r="H942" s="11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6.5" customHeight="1" x14ac:dyDescent="0.3">
      <c r="A943" s="10"/>
      <c r="B943" s="14"/>
      <c r="C943" s="10"/>
      <c r="D943" s="10"/>
      <c r="E943" s="10"/>
      <c r="F943" s="10"/>
      <c r="G943" s="11"/>
      <c r="H943" s="11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6.5" customHeight="1" x14ac:dyDescent="0.3">
      <c r="A944" s="10"/>
      <c r="B944" s="14"/>
      <c r="C944" s="10"/>
      <c r="D944" s="10"/>
      <c r="E944" s="10"/>
      <c r="F944" s="10"/>
      <c r="G944" s="11"/>
      <c r="H944" s="11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6.5" customHeight="1" x14ac:dyDescent="0.3">
      <c r="A945" s="10"/>
      <c r="B945" s="14"/>
      <c r="C945" s="10"/>
      <c r="D945" s="10"/>
      <c r="E945" s="10"/>
      <c r="F945" s="10"/>
      <c r="G945" s="11"/>
      <c r="H945" s="11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6.5" customHeight="1" x14ac:dyDescent="0.3">
      <c r="A946" s="10"/>
      <c r="B946" s="14"/>
      <c r="C946" s="10"/>
      <c r="D946" s="10"/>
      <c r="E946" s="10"/>
      <c r="F946" s="10"/>
      <c r="G946" s="11"/>
      <c r="H946" s="11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6.5" customHeight="1" x14ac:dyDescent="0.3">
      <c r="A947" s="10"/>
      <c r="B947" s="14"/>
      <c r="C947" s="10"/>
      <c r="D947" s="10"/>
      <c r="E947" s="10"/>
      <c r="F947" s="10"/>
      <c r="G947" s="11"/>
      <c r="H947" s="11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6.5" customHeight="1" x14ac:dyDescent="0.3">
      <c r="A948" s="10"/>
      <c r="B948" s="14"/>
      <c r="C948" s="10"/>
      <c r="D948" s="10"/>
      <c r="E948" s="10"/>
      <c r="F948" s="10"/>
      <c r="G948" s="11"/>
      <c r="H948" s="11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6.5" customHeight="1" x14ac:dyDescent="0.3">
      <c r="A949" s="10"/>
      <c r="B949" s="14"/>
      <c r="C949" s="10"/>
      <c r="D949" s="10"/>
      <c r="E949" s="10"/>
      <c r="F949" s="10"/>
      <c r="G949" s="11"/>
      <c r="H949" s="11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6.5" customHeight="1" x14ac:dyDescent="0.3">
      <c r="A950" s="10"/>
      <c r="B950" s="14"/>
      <c r="C950" s="10"/>
      <c r="D950" s="10"/>
      <c r="E950" s="10"/>
      <c r="F950" s="10"/>
      <c r="G950" s="11"/>
      <c r="H950" s="11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6.5" customHeight="1" x14ac:dyDescent="0.3">
      <c r="A951" s="10"/>
      <c r="B951" s="14"/>
      <c r="C951" s="10"/>
      <c r="D951" s="10"/>
      <c r="E951" s="10"/>
      <c r="F951" s="10"/>
      <c r="G951" s="11"/>
      <c r="H951" s="11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6.5" customHeight="1" x14ac:dyDescent="0.3">
      <c r="A952" s="10"/>
      <c r="B952" s="14"/>
      <c r="C952" s="10"/>
      <c r="D952" s="10"/>
      <c r="E952" s="10"/>
      <c r="F952" s="10"/>
      <c r="G952" s="11"/>
      <c r="H952" s="11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6.5" customHeight="1" x14ac:dyDescent="0.3">
      <c r="A953" s="10"/>
      <c r="B953" s="14"/>
      <c r="C953" s="10"/>
      <c r="D953" s="10"/>
      <c r="E953" s="10"/>
      <c r="F953" s="10"/>
      <c r="G953" s="11"/>
      <c r="H953" s="11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6.5" customHeight="1" x14ac:dyDescent="0.3">
      <c r="A954" s="10"/>
      <c r="B954" s="14"/>
      <c r="C954" s="10"/>
      <c r="D954" s="10"/>
      <c r="E954" s="10"/>
      <c r="F954" s="10"/>
      <c r="G954" s="11"/>
      <c r="H954" s="11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6.5" customHeight="1" x14ac:dyDescent="0.3">
      <c r="A955" s="10"/>
      <c r="B955" s="14"/>
      <c r="C955" s="10"/>
      <c r="D955" s="10"/>
      <c r="E955" s="10"/>
      <c r="F955" s="10"/>
      <c r="G955" s="11"/>
      <c r="H955" s="11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6.5" customHeight="1" x14ac:dyDescent="0.3">
      <c r="A956" s="10"/>
      <c r="B956" s="14"/>
      <c r="C956" s="10"/>
      <c r="D956" s="10"/>
      <c r="E956" s="10"/>
      <c r="F956" s="10"/>
      <c r="G956" s="11"/>
      <c r="H956" s="11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6.5" customHeight="1" x14ac:dyDescent="0.3">
      <c r="A957" s="10"/>
      <c r="B957" s="14"/>
      <c r="C957" s="10"/>
      <c r="D957" s="10"/>
      <c r="E957" s="10"/>
      <c r="F957" s="10"/>
      <c r="G957" s="11"/>
      <c r="H957" s="11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6.5" customHeight="1" x14ac:dyDescent="0.3">
      <c r="A958" s="10"/>
      <c r="B958" s="14"/>
      <c r="C958" s="10"/>
      <c r="D958" s="10"/>
      <c r="E958" s="10"/>
      <c r="F958" s="10"/>
      <c r="G958" s="11"/>
      <c r="H958" s="11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6.5" customHeight="1" x14ac:dyDescent="0.3">
      <c r="A959" s="10"/>
      <c r="B959" s="14"/>
      <c r="C959" s="10"/>
      <c r="D959" s="10"/>
      <c r="E959" s="10"/>
      <c r="F959" s="10"/>
      <c r="G959" s="11"/>
      <c r="H959" s="11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6.5" customHeight="1" x14ac:dyDescent="0.3">
      <c r="A960" s="10"/>
      <c r="B960" s="14"/>
      <c r="C960" s="10"/>
      <c r="D960" s="10"/>
      <c r="E960" s="10"/>
      <c r="F960" s="10"/>
      <c r="G960" s="11"/>
      <c r="H960" s="11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6.5" customHeight="1" x14ac:dyDescent="0.3">
      <c r="A961" s="10"/>
      <c r="B961" s="14"/>
      <c r="C961" s="10"/>
      <c r="D961" s="10"/>
      <c r="E961" s="10"/>
      <c r="F961" s="10"/>
      <c r="G961" s="11"/>
      <c r="H961" s="11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6.5" customHeight="1" x14ac:dyDescent="0.3">
      <c r="A962" s="10"/>
      <c r="B962" s="14"/>
      <c r="C962" s="10"/>
      <c r="D962" s="10"/>
      <c r="E962" s="10"/>
      <c r="F962" s="10"/>
      <c r="G962" s="11"/>
      <c r="H962" s="11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6.5" customHeight="1" x14ac:dyDescent="0.3">
      <c r="A963" s="10"/>
      <c r="B963" s="14"/>
      <c r="C963" s="10"/>
      <c r="D963" s="10"/>
      <c r="E963" s="10"/>
      <c r="F963" s="10"/>
      <c r="G963" s="11"/>
      <c r="H963" s="11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6.5" customHeight="1" x14ac:dyDescent="0.3">
      <c r="A964" s="10"/>
      <c r="B964" s="14"/>
      <c r="C964" s="10"/>
      <c r="D964" s="10"/>
      <c r="E964" s="10"/>
      <c r="F964" s="10"/>
      <c r="G964" s="11"/>
      <c r="H964" s="11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6.5" customHeight="1" x14ac:dyDescent="0.3">
      <c r="A965" s="10"/>
      <c r="B965" s="14"/>
      <c r="C965" s="10"/>
      <c r="D965" s="10"/>
      <c r="E965" s="10"/>
      <c r="F965" s="10"/>
      <c r="G965" s="11"/>
      <c r="H965" s="11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6.5" customHeight="1" x14ac:dyDescent="0.3">
      <c r="A966" s="10"/>
      <c r="B966" s="14"/>
      <c r="C966" s="10"/>
      <c r="D966" s="10"/>
      <c r="E966" s="10"/>
      <c r="F966" s="10"/>
      <c r="G966" s="11"/>
      <c r="H966" s="11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6.5" customHeight="1" x14ac:dyDescent="0.3">
      <c r="A967" s="10"/>
      <c r="B967" s="14"/>
      <c r="C967" s="10"/>
      <c r="D967" s="10"/>
      <c r="E967" s="10"/>
      <c r="F967" s="10"/>
      <c r="G967" s="11"/>
      <c r="H967" s="11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6.5" customHeight="1" x14ac:dyDescent="0.3">
      <c r="A968" s="10"/>
      <c r="B968" s="14"/>
      <c r="C968" s="10"/>
      <c r="D968" s="10"/>
      <c r="E968" s="10"/>
      <c r="F968" s="10"/>
      <c r="G968" s="11"/>
      <c r="H968" s="11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6.5" customHeight="1" x14ac:dyDescent="0.3">
      <c r="A969" s="10"/>
      <c r="B969" s="14"/>
      <c r="C969" s="10"/>
      <c r="D969" s="10"/>
      <c r="E969" s="10"/>
      <c r="F969" s="10"/>
      <c r="G969" s="11"/>
      <c r="H969" s="11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6.5" customHeight="1" x14ac:dyDescent="0.3">
      <c r="A970" s="10"/>
      <c r="B970" s="14"/>
      <c r="C970" s="10"/>
      <c r="D970" s="10"/>
      <c r="E970" s="10"/>
      <c r="F970" s="10"/>
      <c r="G970" s="11"/>
      <c r="H970" s="11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6.5" customHeight="1" x14ac:dyDescent="0.3">
      <c r="A971" s="10"/>
      <c r="B971" s="14"/>
      <c r="C971" s="10"/>
      <c r="D971" s="10"/>
      <c r="E971" s="10"/>
      <c r="F971" s="10"/>
      <c r="G971" s="11"/>
      <c r="H971" s="11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6.5" customHeight="1" x14ac:dyDescent="0.3">
      <c r="A972" s="10"/>
      <c r="B972" s="14"/>
      <c r="C972" s="10"/>
      <c r="D972" s="10"/>
      <c r="E972" s="10"/>
      <c r="F972" s="10"/>
      <c r="G972" s="11"/>
      <c r="H972" s="11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6.5" customHeight="1" x14ac:dyDescent="0.3">
      <c r="A973" s="10"/>
      <c r="B973" s="14"/>
      <c r="C973" s="10"/>
      <c r="D973" s="10"/>
      <c r="E973" s="10"/>
      <c r="F973" s="10"/>
      <c r="G973" s="11"/>
      <c r="H973" s="11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6.5" customHeight="1" x14ac:dyDescent="0.3">
      <c r="A974" s="10"/>
      <c r="B974" s="14"/>
      <c r="C974" s="10"/>
      <c r="D974" s="10"/>
      <c r="E974" s="10"/>
      <c r="F974" s="10"/>
      <c r="G974" s="11"/>
      <c r="H974" s="11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6.5" customHeight="1" x14ac:dyDescent="0.3">
      <c r="A975" s="10"/>
      <c r="B975" s="14"/>
      <c r="C975" s="10"/>
      <c r="D975" s="10"/>
      <c r="E975" s="10"/>
      <c r="F975" s="10"/>
      <c r="G975" s="11"/>
      <c r="H975" s="11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6.5" customHeight="1" x14ac:dyDescent="0.3">
      <c r="A976" s="10"/>
      <c r="B976" s="14"/>
      <c r="C976" s="10"/>
      <c r="D976" s="10"/>
      <c r="E976" s="10"/>
      <c r="F976" s="10"/>
      <c r="G976" s="11"/>
      <c r="H976" s="11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6.5" customHeight="1" x14ac:dyDescent="0.3">
      <c r="A977" s="10"/>
      <c r="B977" s="14"/>
      <c r="C977" s="10"/>
      <c r="D977" s="10"/>
      <c r="E977" s="10"/>
      <c r="F977" s="10"/>
      <c r="G977" s="11"/>
      <c r="H977" s="11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6.5" customHeight="1" x14ac:dyDescent="0.3">
      <c r="A978" s="10"/>
      <c r="B978" s="14"/>
      <c r="C978" s="10"/>
      <c r="D978" s="10"/>
      <c r="E978" s="10"/>
      <c r="F978" s="10"/>
      <c r="G978" s="11"/>
      <c r="H978" s="11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6.5" customHeight="1" x14ac:dyDescent="0.3">
      <c r="A979" s="10"/>
      <c r="B979" s="14"/>
      <c r="C979" s="10"/>
      <c r="D979" s="10"/>
      <c r="E979" s="10"/>
      <c r="F979" s="10"/>
      <c r="G979" s="11"/>
      <c r="H979" s="11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6.5" customHeight="1" x14ac:dyDescent="0.3">
      <c r="A980" s="10"/>
      <c r="B980" s="14"/>
      <c r="C980" s="10"/>
      <c r="D980" s="10"/>
      <c r="E980" s="10"/>
      <c r="F980" s="10"/>
      <c r="G980" s="11"/>
      <c r="H980" s="11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6.5" customHeight="1" x14ac:dyDescent="0.3">
      <c r="A981" s="10"/>
      <c r="B981" s="14"/>
      <c r="C981" s="10"/>
      <c r="D981" s="10"/>
      <c r="E981" s="10"/>
      <c r="F981" s="10"/>
      <c r="G981" s="11"/>
      <c r="H981" s="11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6.5" customHeight="1" x14ac:dyDescent="0.3">
      <c r="A982" s="10"/>
      <c r="B982" s="14"/>
      <c r="C982" s="10"/>
      <c r="D982" s="10"/>
      <c r="E982" s="10"/>
      <c r="F982" s="10"/>
      <c r="G982" s="11"/>
      <c r="H982" s="11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6.5" customHeight="1" x14ac:dyDescent="0.3">
      <c r="A983" s="10"/>
      <c r="B983" s="14"/>
      <c r="C983" s="10"/>
      <c r="D983" s="10"/>
      <c r="E983" s="10"/>
      <c r="F983" s="10"/>
      <c r="G983" s="11"/>
      <c r="H983" s="11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6.5" customHeight="1" x14ac:dyDescent="0.3">
      <c r="A984" s="10"/>
      <c r="B984" s="14"/>
      <c r="C984" s="10"/>
      <c r="D984" s="10"/>
      <c r="E984" s="10"/>
      <c r="F984" s="10"/>
      <c r="G984" s="11"/>
      <c r="H984" s="11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6.5" customHeight="1" x14ac:dyDescent="0.3">
      <c r="A985" s="10"/>
      <c r="B985" s="14"/>
      <c r="C985" s="10"/>
      <c r="D985" s="10"/>
      <c r="E985" s="10"/>
      <c r="F985" s="10"/>
      <c r="G985" s="11"/>
      <c r="H985" s="11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6.5" customHeight="1" x14ac:dyDescent="0.3">
      <c r="A986" s="10"/>
      <c r="B986" s="14"/>
      <c r="C986" s="10"/>
      <c r="D986" s="10"/>
      <c r="E986" s="10"/>
      <c r="F986" s="10"/>
      <c r="G986" s="11"/>
      <c r="H986" s="11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6.5" customHeight="1" x14ac:dyDescent="0.3">
      <c r="A987" s="10"/>
      <c r="B987" s="14"/>
      <c r="C987" s="10"/>
      <c r="D987" s="10"/>
      <c r="E987" s="10"/>
      <c r="F987" s="10"/>
      <c r="G987" s="11"/>
      <c r="H987" s="11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6.5" customHeight="1" x14ac:dyDescent="0.3">
      <c r="A988" s="10"/>
      <c r="B988" s="14"/>
      <c r="C988" s="10"/>
      <c r="D988" s="10"/>
      <c r="E988" s="10"/>
      <c r="F988" s="10"/>
      <c r="G988" s="11"/>
      <c r="H988" s="11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6.5" customHeight="1" x14ac:dyDescent="0.3">
      <c r="A989" s="10"/>
      <c r="B989" s="14"/>
      <c r="C989" s="10"/>
      <c r="D989" s="10"/>
      <c r="E989" s="10"/>
      <c r="F989" s="10"/>
      <c r="G989" s="11"/>
      <c r="H989" s="11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6.5" customHeight="1" x14ac:dyDescent="0.3">
      <c r="A990" s="10"/>
      <c r="B990" s="14"/>
      <c r="C990" s="10"/>
      <c r="D990" s="10"/>
      <c r="E990" s="10"/>
      <c r="F990" s="10"/>
      <c r="G990" s="11"/>
      <c r="H990" s="11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6.5" customHeight="1" x14ac:dyDescent="0.3">
      <c r="A991" s="10"/>
      <c r="B991" s="14"/>
      <c r="C991" s="10"/>
      <c r="D991" s="10"/>
      <c r="E991" s="10"/>
      <c r="F991" s="10"/>
      <c r="G991" s="11"/>
      <c r="H991" s="11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6.5" customHeight="1" x14ac:dyDescent="0.3">
      <c r="A992" s="10"/>
      <c r="B992" s="14"/>
      <c r="C992" s="10"/>
      <c r="D992" s="10"/>
      <c r="E992" s="10"/>
      <c r="F992" s="10"/>
      <c r="G992" s="11"/>
      <c r="H992" s="11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6.5" customHeight="1" x14ac:dyDescent="0.3">
      <c r="A993" s="10"/>
      <c r="B993" s="14"/>
      <c r="C993" s="10"/>
      <c r="D993" s="10"/>
      <c r="E993" s="10"/>
      <c r="F993" s="10"/>
      <c r="G993" s="11"/>
      <c r="H993" s="11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6.5" customHeight="1" x14ac:dyDescent="0.3">
      <c r="A994" s="10"/>
      <c r="B994" s="14"/>
      <c r="C994" s="10"/>
      <c r="D994" s="10"/>
      <c r="E994" s="10"/>
      <c r="F994" s="10"/>
      <c r="G994" s="11"/>
      <c r="H994" s="11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6.5" customHeight="1" x14ac:dyDescent="0.3">
      <c r="A995" s="10"/>
      <c r="B995" s="14"/>
      <c r="C995" s="10"/>
      <c r="D995" s="10"/>
      <c r="E995" s="10"/>
      <c r="F995" s="10"/>
      <c r="G995" s="11"/>
      <c r="H995" s="11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6.5" customHeight="1" x14ac:dyDescent="0.3">
      <c r="A996" s="10"/>
      <c r="B996" s="14"/>
      <c r="C996" s="10"/>
      <c r="D996" s="10"/>
      <c r="E996" s="10"/>
      <c r="F996" s="10"/>
      <c r="G996" s="11"/>
      <c r="H996" s="11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6.5" customHeight="1" x14ac:dyDescent="0.3">
      <c r="A997" s="10"/>
      <c r="B997" s="14"/>
      <c r="C997" s="10"/>
      <c r="D997" s="10"/>
      <c r="E997" s="10"/>
      <c r="F997" s="10"/>
      <c r="G997" s="11"/>
      <c r="H997" s="11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6.5" customHeight="1" x14ac:dyDescent="0.3">
      <c r="A998" s="10"/>
      <c r="B998" s="14"/>
      <c r="C998" s="10"/>
      <c r="D998" s="10"/>
      <c r="E998" s="10"/>
      <c r="F998" s="10"/>
      <c r="G998" s="11"/>
      <c r="H998" s="11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6.5" customHeight="1" x14ac:dyDescent="0.3">
      <c r="A999" s="10"/>
      <c r="B999" s="14"/>
      <c r="C999" s="10"/>
      <c r="D999" s="10"/>
      <c r="E999" s="10"/>
      <c r="F999" s="10"/>
      <c r="G999" s="11"/>
      <c r="H999" s="11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6.5" customHeight="1" x14ac:dyDescent="0.3">
      <c r="A1000" s="10"/>
      <c r="B1000" s="14"/>
      <c r="C1000" s="10"/>
      <c r="D1000" s="10"/>
      <c r="E1000" s="10"/>
      <c r="F1000" s="10"/>
      <c r="G1000" s="11"/>
      <c r="H1000" s="11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G13:R13 G16:R16 G22:R22">
    <cfRule type="cellIs" dxfId="7" priority="1" operator="equal">
      <formula>1</formula>
    </cfRule>
  </conditionalFormatting>
  <conditionalFormatting sqref="G19:R19">
    <cfRule type="cellIs" dxfId="6" priority="8" operator="equal">
      <formula>1</formula>
    </cfRule>
  </conditionalFormatting>
  <conditionalFormatting sqref="G25:R25 G31:R31 G34:R34 G37:R37 G40:R40 G46:R46">
    <cfRule type="cellIs" dxfId="5" priority="5" operator="equal">
      <formula>1</formula>
    </cfRule>
  </conditionalFormatting>
  <conditionalFormatting sqref="G28:R28">
    <cfRule type="cellIs" dxfId="4" priority="10" operator="equal">
      <formula>1</formula>
    </cfRule>
  </conditionalFormatting>
  <conditionalFormatting sqref="G43:R43">
    <cfRule type="cellIs" dxfId="3" priority="12" operator="equal">
      <formula>1</formula>
    </cfRule>
  </conditionalFormatting>
  <conditionalFormatting sqref="V1:V1000">
    <cfRule type="containsText" dxfId="2" priority="2" operator="containsText" text="falso">
      <formula>NOT(ISERROR(SEARCH(("falso"),(V1))))</formula>
    </cfRule>
  </conditionalFormatting>
  <printOptions horizontalCentered="1"/>
  <pageMargins left="0.19685039370078741" right="0.19685039370078741" top="1.4960629921259843" bottom="0.74803149606299213" header="0" footer="0"/>
  <pageSetup paperSize="9" fitToHeight="0" orientation="landscape"/>
  <headerFooter>
    <oddHeader>&amp;CREPÚBLICA FEDERATIVA DO BRASIL MINISTÉRIO DA EDUCAÇÃO SECRETARIA DE EDUCAÇÃO TECNOLÓGICA INSTITUTO FEDERAL DE EDUCAÇÃO, CIÊNCIA E TEC. DO AMAZONAS PRÓ-REITORIA DE DES. INSTITUCIONAL DIRETORIA OBRAS E SERV. DE ENGENHARIA</oddHeader>
    <oddFooter>&amp;CReitoria - Avenida Ferreira Pena, 1.109, Centro - Manaus/AM - CEP: 69.025-010. E-mail: enge.ifam@ifam.edu.br Tel: (92) 3306-0045&amp;RPágina &amp;P 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ColWidth="14.44140625" defaultRowHeight="15" customHeight="1" x14ac:dyDescent="0.3"/>
  <cols>
    <col min="1" max="1" width="7.109375" customWidth="1"/>
    <col min="2" max="2" width="18.5546875" customWidth="1"/>
    <col min="3" max="3" width="38.88671875" customWidth="1"/>
    <col min="4" max="4" width="9.109375" customWidth="1"/>
    <col min="5" max="6" width="9.6640625" customWidth="1"/>
    <col min="7" max="7" width="10.109375" customWidth="1"/>
    <col min="8" max="8" width="15.44140625" customWidth="1"/>
    <col min="9" max="11" width="9.109375" customWidth="1"/>
    <col min="12" max="12" width="17.44140625" customWidth="1"/>
    <col min="13" max="26" width="9.109375" customWidth="1"/>
  </cols>
  <sheetData>
    <row r="1" spans="1:26" ht="12.75" customHeight="1" x14ac:dyDescent="0.3">
      <c r="A1" s="14"/>
      <c r="B1" s="14"/>
      <c r="C1" s="6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.75" customHeight="1" x14ac:dyDescent="0.3">
      <c r="A2" s="64"/>
      <c r="B2" s="3" t="s">
        <v>40</v>
      </c>
      <c r="C2" s="65"/>
      <c r="D2" s="64"/>
      <c r="E2" s="66"/>
      <c r="F2" s="64"/>
      <c r="G2" s="12" t="s">
        <v>0</v>
      </c>
      <c r="H2" s="5" t="s">
        <v>39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2.75" customHeight="1" x14ac:dyDescent="0.3">
      <c r="A3" s="64"/>
      <c r="B3" s="3" t="s">
        <v>42</v>
      </c>
      <c r="C3" s="65"/>
      <c r="D3" s="64"/>
      <c r="E3" s="66"/>
      <c r="F3" s="64"/>
      <c r="G3" s="12" t="s">
        <v>1</v>
      </c>
      <c r="H3" s="5" t="s">
        <v>41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2.75" customHeight="1" x14ac:dyDescent="0.3">
      <c r="A4" s="64"/>
      <c r="B4" s="3"/>
      <c r="C4" s="65"/>
      <c r="D4" s="64"/>
      <c r="E4" s="66"/>
      <c r="F4" s="64"/>
      <c r="G4" s="12" t="s">
        <v>2</v>
      </c>
      <c r="H4" s="6">
        <v>0.84809999999999997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2.75" customHeight="1" x14ac:dyDescent="0.3">
      <c r="A5" s="64"/>
      <c r="B5" s="67"/>
      <c r="C5" s="65"/>
      <c r="D5" s="64"/>
      <c r="E5" s="66"/>
      <c r="F5" s="64"/>
      <c r="G5" s="12" t="s">
        <v>3</v>
      </c>
      <c r="H5" s="6">
        <v>0.48070000000000002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2.75" customHeight="1" x14ac:dyDescent="0.3">
      <c r="A6" s="64"/>
      <c r="B6" s="67"/>
      <c r="C6" s="65"/>
      <c r="D6" s="64"/>
      <c r="E6" s="66"/>
      <c r="F6" s="64"/>
      <c r="G6" s="12" t="s">
        <v>4</v>
      </c>
      <c r="H6" s="6">
        <v>0.28349999999999997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2.75" customHeight="1" x14ac:dyDescent="0.3">
      <c r="A7" s="64"/>
      <c r="B7" s="68" t="s">
        <v>65</v>
      </c>
      <c r="C7" s="69"/>
      <c r="D7" s="69"/>
      <c r="E7" s="70"/>
      <c r="F7" s="69"/>
      <c r="G7" s="4"/>
      <c r="H7" s="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2.75" customHeight="1" x14ac:dyDescent="0.3">
      <c r="A8" s="64"/>
      <c r="B8" s="68"/>
      <c r="C8" s="71"/>
      <c r="D8" s="71"/>
      <c r="E8" s="66"/>
      <c r="F8" s="71"/>
      <c r="G8" s="72"/>
      <c r="H8" s="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3">
      <c r="A9" s="15"/>
      <c r="B9" s="73" t="s">
        <v>6</v>
      </c>
      <c r="C9" s="73" t="s">
        <v>7</v>
      </c>
      <c r="D9" s="74" t="s">
        <v>8</v>
      </c>
      <c r="E9" s="74" t="s">
        <v>9</v>
      </c>
      <c r="F9" s="75" t="s">
        <v>66</v>
      </c>
      <c r="G9" s="76" t="s">
        <v>10</v>
      </c>
      <c r="H9" s="77" t="s">
        <v>11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 x14ac:dyDescent="0.3">
      <c r="A10" s="14"/>
      <c r="B10" s="78" t="s">
        <v>67</v>
      </c>
      <c r="C10" s="78" t="s">
        <v>68</v>
      </c>
      <c r="D10" s="79" t="s">
        <v>69</v>
      </c>
      <c r="E10" s="79" t="s">
        <v>70</v>
      </c>
      <c r="F10" s="80"/>
      <c r="G10" s="81"/>
      <c r="H10" s="8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2.75" customHeight="1" x14ac:dyDescent="0.3">
      <c r="A11" s="14"/>
      <c r="B11" s="82">
        <v>12056</v>
      </c>
      <c r="C11" s="83" t="s">
        <v>71</v>
      </c>
      <c r="D11" s="84" t="s">
        <v>72</v>
      </c>
      <c r="E11" s="84" t="s">
        <v>73</v>
      </c>
      <c r="F11" s="85">
        <v>1</v>
      </c>
      <c r="G11" s="86">
        <v>19.03</v>
      </c>
      <c r="H11" s="86">
        <f t="shared" ref="H11:H21" si="0">F11*G11</f>
        <v>19.03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2.75" customHeight="1" x14ac:dyDescent="0.3">
      <c r="A12" s="14"/>
      <c r="B12" s="82">
        <v>12344</v>
      </c>
      <c r="C12" s="83" t="s">
        <v>74</v>
      </c>
      <c r="D12" s="84" t="s">
        <v>72</v>
      </c>
      <c r="E12" s="84" t="s">
        <v>75</v>
      </c>
      <c r="F12" s="85">
        <v>3</v>
      </c>
      <c r="G12" s="86">
        <v>1.69</v>
      </c>
      <c r="H12" s="86">
        <f t="shared" si="0"/>
        <v>5.07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2.75" customHeight="1" x14ac:dyDescent="0.3">
      <c r="A13" s="14"/>
      <c r="B13" s="82">
        <v>1875</v>
      </c>
      <c r="C13" s="83" t="s">
        <v>76</v>
      </c>
      <c r="D13" s="84" t="s">
        <v>72</v>
      </c>
      <c r="E13" s="84" t="s">
        <v>75</v>
      </c>
      <c r="F13" s="85">
        <v>2</v>
      </c>
      <c r="G13" s="86">
        <v>4.3</v>
      </c>
      <c r="H13" s="86">
        <f t="shared" si="0"/>
        <v>8.6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2.75" customHeight="1" x14ac:dyDescent="0.3">
      <c r="A14" s="14"/>
      <c r="B14" s="82">
        <v>2673</v>
      </c>
      <c r="C14" s="83" t="s">
        <v>77</v>
      </c>
      <c r="D14" s="84" t="s">
        <v>72</v>
      </c>
      <c r="E14" s="84" t="s">
        <v>73</v>
      </c>
      <c r="F14" s="85">
        <v>12</v>
      </c>
      <c r="G14" s="86">
        <v>1.9</v>
      </c>
      <c r="H14" s="86">
        <f t="shared" si="0"/>
        <v>22.799999999999997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4"/>
      <c r="B15" s="82">
        <v>3406</v>
      </c>
      <c r="C15" s="83" t="s">
        <v>78</v>
      </c>
      <c r="D15" s="84" t="s">
        <v>72</v>
      </c>
      <c r="E15" s="84" t="s">
        <v>75</v>
      </c>
      <c r="F15" s="85">
        <v>4</v>
      </c>
      <c r="G15" s="86">
        <v>20.7</v>
      </c>
      <c r="H15" s="86">
        <f t="shared" si="0"/>
        <v>82.8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4"/>
      <c r="B16" s="82">
        <v>392</v>
      </c>
      <c r="C16" s="83" t="s">
        <v>79</v>
      </c>
      <c r="D16" s="84" t="s">
        <v>72</v>
      </c>
      <c r="E16" s="84" t="s">
        <v>75</v>
      </c>
      <c r="F16" s="85">
        <v>1</v>
      </c>
      <c r="G16" s="86">
        <v>0.68</v>
      </c>
      <c r="H16" s="86">
        <f t="shared" si="0"/>
        <v>0.68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4"/>
      <c r="B17" s="82">
        <v>4481</v>
      </c>
      <c r="C17" s="83" t="s">
        <v>80</v>
      </c>
      <c r="D17" s="84" t="s">
        <v>72</v>
      </c>
      <c r="E17" s="84" t="s">
        <v>73</v>
      </c>
      <c r="F17" s="85">
        <v>5</v>
      </c>
      <c r="G17" s="86">
        <v>21.76</v>
      </c>
      <c r="H17" s="86">
        <f t="shared" si="0"/>
        <v>108.80000000000001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4"/>
      <c r="B18" s="82">
        <v>7701</v>
      </c>
      <c r="C18" s="83" t="s">
        <v>81</v>
      </c>
      <c r="D18" s="84" t="s">
        <v>72</v>
      </c>
      <c r="E18" s="84" t="s">
        <v>73</v>
      </c>
      <c r="F18" s="85">
        <v>1</v>
      </c>
      <c r="G18" s="86">
        <v>56.23</v>
      </c>
      <c r="H18" s="86">
        <f t="shared" si="0"/>
        <v>56.23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4"/>
      <c r="B19" s="82" t="s">
        <v>82</v>
      </c>
      <c r="C19" s="83" t="s">
        <v>83</v>
      </c>
      <c r="D19" s="84" t="s">
        <v>13</v>
      </c>
      <c r="E19" s="84" t="s">
        <v>14</v>
      </c>
      <c r="F19" s="85">
        <v>4</v>
      </c>
      <c r="G19" s="86">
        <v>21</v>
      </c>
      <c r="H19" s="86">
        <f t="shared" si="0"/>
        <v>84</v>
      </c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4"/>
      <c r="B20" s="82" t="s">
        <v>84</v>
      </c>
      <c r="C20" s="83" t="s">
        <v>85</v>
      </c>
      <c r="D20" s="84" t="s">
        <v>13</v>
      </c>
      <c r="E20" s="84" t="s">
        <v>14</v>
      </c>
      <c r="F20" s="85">
        <v>4</v>
      </c>
      <c r="G20" s="86">
        <v>14.63</v>
      </c>
      <c r="H20" s="86">
        <f t="shared" si="0"/>
        <v>58.52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4"/>
      <c r="B21" s="82">
        <v>979</v>
      </c>
      <c r="C21" s="83" t="s">
        <v>86</v>
      </c>
      <c r="D21" s="84" t="s">
        <v>72</v>
      </c>
      <c r="E21" s="84" t="s">
        <v>73</v>
      </c>
      <c r="F21" s="85">
        <v>20</v>
      </c>
      <c r="G21" s="86">
        <v>6.3</v>
      </c>
      <c r="H21" s="86">
        <f t="shared" si="0"/>
        <v>126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4"/>
      <c r="B22" s="443" t="s">
        <v>87</v>
      </c>
      <c r="C22" s="444"/>
      <c r="D22" s="444"/>
      <c r="E22" s="444"/>
      <c r="F22" s="444"/>
      <c r="G22" s="445"/>
      <c r="H22" s="87">
        <f>SUMIF(D11:D21,"SER.CG",H11:H21)</f>
        <v>142.52000000000001</v>
      </c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4"/>
      <c r="B23" s="443" t="s">
        <v>88</v>
      </c>
      <c r="C23" s="444"/>
      <c r="D23" s="444"/>
      <c r="E23" s="444"/>
      <c r="F23" s="444"/>
      <c r="G23" s="445"/>
      <c r="H23" s="87">
        <f>SUMIF(D11:D21,"MAT.",H11:H21)</f>
        <v>430.01000000000005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4"/>
      <c r="B24" s="443" t="s">
        <v>89</v>
      </c>
      <c r="C24" s="444"/>
      <c r="D24" s="444"/>
      <c r="E24" s="444"/>
      <c r="F24" s="444"/>
      <c r="G24" s="445"/>
      <c r="H24" s="88">
        <f>SUM(H22:H23)</f>
        <v>572.53000000000009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4"/>
      <c r="B25" s="443" t="s">
        <v>90</v>
      </c>
      <c r="C25" s="444"/>
      <c r="D25" s="444"/>
      <c r="E25" s="444"/>
      <c r="F25" s="444"/>
      <c r="G25" s="445"/>
      <c r="H25" s="87">
        <f>H4*H22</f>
        <v>120.871212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4"/>
      <c r="B26" s="443" t="s">
        <v>91</v>
      </c>
      <c r="C26" s="444"/>
      <c r="D26" s="444"/>
      <c r="E26" s="444"/>
      <c r="F26" s="444"/>
      <c r="G26" s="445"/>
      <c r="H26" s="87">
        <v>365.23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4"/>
      <c r="B27" s="443" t="s">
        <v>92</v>
      </c>
      <c r="C27" s="444"/>
      <c r="D27" s="444"/>
      <c r="E27" s="444"/>
      <c r="F27" s="444"/>
      <c r="G27" s="445"/>
      <c r="H27" s="87">
        <v>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4"/>
      <c r="B28" s="443" t="s">
        <v>93</v>
      </c>
      <c r="C28" s="444"/>
      <c r="D28" s="444"/>
      <c r="E28" s="444"/>
      <c r="F28" s="444"/>
      <c r="G28" s="445"/>
      <c r="H28" s="87">
        <v>588.47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2.75" customHeight="1" x14ac:dyDescent="0.3">
      <c r="A29" s="14"/>
      <c r="B29" s="443" t="s">
        <v>94</v>
      </c>
      <c r="C29" s="444"/>
      <c r="D29" s="444"/>
      <c r="E29" s="444"/>
      <c r="F29" s="444"/>
      <c r="G29" s="445"/>
      <c r="H29" s="88">
        <f>ROUNDDOWN(H24+H28,2)</f>
        <v>1161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2.75" customHeight="1" x14ac:dyDescent="0.3">
      <c r="A30" s="14"/>
      <c r="B30" s="443" t="s">
        <v>95</v>
      </c>
      <c r="C30" s="444"/>
      <c r="D30" s="444"/>
      <c r="E30" s="444"/>
      <c r="F30" s="444"/>
      <c r="G30" s="445"/>
      <c r="H30" s="87">
        <v>1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2.75" customHeight="1" x14ac:dyDescent="0.3">
      <c r="A31" s="14"/>
      <c r="B31" s="443" t="s">
        <v>96</v>
      </c>
      <c r="C31" s="444"/>
      <c r="D31" s="444"/>
      <c r="E31" s="444"/>
      <c r="F31" s="444"/>
      <c r="G31" s="445"/>
      <c r="H31" s="88">
        <f>ROUNDDOWN(H29*H30,2)</f>
        <v>1161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2.75" customHeight="1" x14ac:dyDescent="0.3">
      <c r="A32" s="14"/>
      <c r="B32" s="446"/>
      <c r="C32" s="444"/>
      <c r="D32" s="444"/>
      <c r="E32" s="444"/>
      <c r="F32" s="444"/>
      <c r="G32" s="444"/>
      <c r="H32" s="445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.75" customHeight="1" x14ac:dyDescent="0.3">
      <c r="A33" s="14"/>
      <c r="B33" s="78" t="s">
        <v>97</v>
      </c>
      <c r="C33" s="78" t="s">
        <v>98</v>
      </c>
      <c r="D33" s="79" t="s">
        <v>69</v>
      </c>
      <c r="E33" s="79" t="s">
        <v>70</v>
      </c>
      <c r="F33" s="80"/>
      <c r="G33" s="81"/>
      <c r="H33" s="81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2.75" customHeight="1" x14ac:dyDescent="0.3">
      <c r="A34" s="14"/>
      <c r="B34" s="82">
        <v>11670</v>
      </c>
      <c r="C34" s="83" t="s">
        <v>99</v>
      </c>
      <c r="D34" s="84" t="s">
        <v>72</v>
      </c>
      <c r="E34" s="84" t="s">
        <v>75</v>
      </c>
      <c r="F34" s="85">
        <v>1</v>
      </c>
      <c r="G34" s="86">
        <v>7.66</v>
      </c>
      <c r="H34" s="86">
        <f t="shared" ref="H34:H40" si="1">G34*F34</f>
        <v>7.66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2.75" customHeight="1" x14ac:dyDescent="0.3">
      <c r="A35" s="14"/>
      <c r="B35" s="82">
        <v>11822</v>
      </c>
      <c r="C35" s="83" t="s">
        <v>100</v>
      </c>
      <c r="D35" s="84" t="s">
        <v>72</v>
      </c>
      <c r="E35" s="84" t="s">
        <v>75</v>
      </c>
      <c r="F35" s="85">
        <v>1</v>
      </c>
      <c r="G35" s="86">
        <v>31.92</v>
      </c>
      <c r="H35" s="86">
        <f t="shared" si="1"/>
        <v>31.92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2.75" customHeight="1" x14ac:dyDescent="0.3">
      <c r="A36" s="14"/>
      <c r="B36" s="82">
        <v>3859</v>
      </c>
      <c r="C36" s="83" t="s">
        <v>101</v>
      </c>
      <c r="D36" s="84" t="s">
        <v>72</v>
      </c>
      <c r="E36" s="84" t="s">
        <v>75</v>
      </c>
      <c r="F36" s="85">
        <v>1</v>
      </c>
      <c r="G36" s="86">
        <v>0.85</v>
      </c>
      <c r="H36" s="86">
        <f t="shared" si="1"/>
        <v>0.85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2.75" customHeight="1" x14ac:dyDescent="0.3">
      <c r="A37" s="14"/>
      <c r="B37" s="82">
        <v>3861</v>
      </c>
      <c r="C37" s="83" t="s">
        <v>102</v>
      </c>
      <c r="D37" s="84" t="s">
        <v>72</v>
      </c>
      <c r="E37" s="84" t="s">
        <v>75</v>
      </c>
      <c r="F37" s="85">
        <v>3</v>
      </c>
      <c r="G37" s="86">
        <v>0.4</v>
      </c>
      <c r="H37" s="86">
        <f t="shared" si="1"/>
        <v>1.2000000000000002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2.75" customHeight="1" x14ac:dyDescent="0.3">
      <c r="A38" s="14"/>
      <c r="B38" s="82" t="s">
        <v>103</v>
      </c>
      <c r="C38" s="83" t="s">
        <v>104</v>
      </c>
      <c r="D38" s="84" t="s">
        <v>13</v>
      </c>
      <c r="E38" s="84" t="s">
        <v>14</v>
      </c>
      <c r="F38" s="85">
        <v>2</v>
      </c>
      <c r="G38" s="86">
        <v>17.77</v>
      </c>
      <c r="H38" s="86">
        <f t="shared" si="1"/>
        <v>35.54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2.75" customHeight="1" x14ac:dyDescent="0.3">
      <c r="A39" s="14"/>
      <c r="B39" s="82" t="s">
        <v>84</v>
      </c>
      <c r="C39" s="83" t="s">
        <v>85</v>
      </c>
      <c r="D39" s="84" t="s">
        <v>13</v>
      </c>
      <c r="E39" s="84" t="s">
        <v>14</v>
      </c>
      <c r="F39" s="85">
        <v>4</v>
      </c>
      <c r="G39" s="86">
        <v>14.63</v>
      </c>
      <c r="H39" s="86">
        <f t="shared" si="1"/>
        <v>58.52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2.75" customHeight="1" x14ac:dyDescent="0.3">
      <c r="A40" s="14"/>
      <c r="B40" s="82">
        <v>9867</v>
      </c>
      <c r="C40" s="83" t="s">
        <v>105</v>
      </c>
      <c r="D40" s="84" t="s">
        <v>72</v>
      </c>
      <c r="E40" s="84" t="s">
        <v>73</v>
      </c>
      <c r="F40" s="85">
        <v>40</v>
      </c>
      <c r="G40" s="86">
        <v>1.81</v>
      </c>
      <c r="H40" s="86">
        <f t="shared" si="1"/>
        <v>72.400000000000006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2.75" customHeight="1" x14ac:dyDescent="0.3">
      <c r="A41" s="14"/>
      <c r="B41" s="447" t="s">
        <v>87</v>
      </c>
      <c r="C41" s="444"/>
      <c r="D41" s="444"/>
      <c r="E41" s="444"/>
      <c r="F41" s="444"/>
      <c r="G41" s="445"/>
      <c r="H41" s="89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2.75" customHeight="1" x14ac:dyDescent="0.3">
      <c r="A42" s="14"/>
      <c r="B42" s="447" t="s">
        <v>88</v>
      </c>
      <c r="C42" s="444"/>
      <c r="D42" s="444"/>
      <c r="E42" s="444"/>
      <c r="F42" s="444"/>
      <c r="G42" s="445"/>
      <c r="H42" s="89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2.75" customHeight="1" x14ac:dyDescent="0.3">
      <c r="A43" s="14"/>
      <c r="B43" s="447" t="s">
        <v>89</v>
      </c>
      <c r="C43" s="444"/>
      <c r="D43" s="444"/>
      <c r="E43" s="444"/>
      <c r="F43" s="444"/>
      <c r="G43" s="445"/>
      <c r="H43" s="90">
        <f>SUM(H34:H40)</f>
        <v>208.09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2.75" customHeight="1" x14ac:dyDescent="0.3">
      <c r="A44" s="14"/>
      <c r="B44" s="447" t="s">
        <v>90</v>
      </c>
      <c r="C44" s="444"/>
      <c r="D44" s="444"/>
      <c r="E44" s="444"/>
      <c r="F44" s="444"/>
      <c r="G44" s="445"/>
      <c r="H44" s="89">
        <v>23.54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2.75" customHeight="1" x14ac:dyDescent="0.3">
      <c r="A45" s="14"/>
      <c r="B45" s="447" t="s">
        <v>91</v>
      </c>
      <c r="C45" s="444"/>
      <c r="D45" s="444"/>
      <c r="E45" s="444"/>
      <c r="F45" s="444"/>
      <c r="G45" s="445"/>
      <c r="H45" s="89">
        <v>55.110000000223515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2.75" customHeight="1" x14ac:dyDescent="0.3">
      <c r="A46" s="14"/>
      <c r="B46" s="447" t="s">
        <v>92</v>
      </c>
      <c r="C46" s="444"/>
      <c r="D46" s="444"/>
      <c r="E46" s="444"/>
      <c r="F46" s="444"/>
      <c r="G46" s="445"/>
      <c r="H46" s="89"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2.75" customHeight="1" x14ac:dyDescent="0.3">
      <c r="A47" s="14"/>
      <c r="B47" s="447" t="s">
        <v>93</v>
      </c>
      <c r="C47" s="444"/>
      <c r="D47" s="444"/>
      <c r="E47" s="444"/>
      <c r="F47" s="444"/>
      <c r="G47" s="445"/>
      <c r="H47" s="89">
        <v>78.650000000000006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2.75" customHeight="1" x14ac:dyDescent="0.3">
      <c r="A48" s="14"/>
      <c r="B48" s="447" t="s">
        <v>94</v>
      </c>
      <c r="C48" s="444"/>
      <c r="D48" s="444"/>
      <c r="E48" s="444"/>
      <c r="F48" s="444"/>
      <c r="G48" s="445"/>
      <c r="H48" s="90">
        <f>ROUNDDOWN(H43+H47,2)</f>
        <v>286.74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2.75" customHeight="1" x14ac:dyDescent="0.3">
      <c r="A49" s="14"/>
      <c r="B49" s="447" t="s">
        <v>95</v>
      </c>
      <c r="C49" s="444"/>
      <c r="D49" s="444"/>
      <c r="E49" s="444"/>
      <c r="F49" s="444"/>
      <c r="G49" s="445"/>
      <c r="H49" s="89">
        <v>1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2.75" customHeight="1" x14ac:dyDescent="0.3">
      <c r="A50" s="14"/>
      <c r="B50" s="447" t="s">
        <v>96</v>
      </c>
      <c r="C50" s="444"/>
      <c r="D50" s="444"/>
      <c r="E50" s="444"/>
      <c r="F50" s="444"/>
      <c r="G50" s="445"/>
      <c r="H50" s="90">
        <f>ROUNDDOWN(H48*H49,2)</f>
        <v>286.74</v>
      </c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2.75" customHeight="1" x14ac:dyDescent="0.3">
      <c r="A51" s="14"/>
      <c r="B51" s="446"/>
      <c r="C51" s="444"/>
      <c r="D51" s="444"/>
      <c r="E51" s="444"/>
      <c r="F51" s="444"/>
      <c r="G51" s="444"/>
      <c r="H51" s="445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2.75" customHeight="1" x14ac:dyDescent="0.3">
      <c r="A52" s="14"/>
      <c r="B52" s="78" t="s">
        <v>106</v>
      </c>
      <c r="C52" s="78" t="s">
        <v>107</v>
      </c>
      <c r="D52" s="79" t="s">
        <v>69</v>
      </c>
      <c r="E52" s="79" t="s">
        <v>108</v>
      </c>
      <c r="F52" s="80"/>
      <c r="G52" s="81"/>
      <c r="H52" s="81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2.75" customHeight="1" x14ac:dyDescent="0.3">
      <c r="A53" s="14"/>
      <c r="B53" s="82">
        <v>4509</v>
      </c>
      <c r="C53" s="83" t="s">
        <v>109</v>
      </c>
      <c r="D53" s="84" t="s">
        <v>72</v>
      </c>
      <c r="E53" s="84" t="s">
        <v>73</v>
      </c>
      <c r="F53" s="85">
        <v>1.3</v>
      </c>
      <c r="G53" s="86">
        <v>1.34</v>
      </c>
      <c r="H53" s="86">
        <f t="shared" ref="H53:H61" si="2">G53*F53</f>
        <v>1.7420000000000002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2.75" customHeight="1" x14ac:dyDescent="0.3">
      <c r="A54" s="14"/>
      <c r="B54" s="82">
        <v>1346</v>
      </c>
      <c r="C54" s="83" t="s">
        <v>110</v>
      </c>
      <c r="D54" s="84" t="s">
        <v>72</v>
      </c>
      <c r="E54" s="84" t="s">
        <v>111</v>
      </c>
      <c r="F54" s="85">
        <f>1*0.25</f>
        <v>0.25</v>
      </c>
      <c r="G54" s="86">
        <v>19.11</v>
      </c>
      <c r="H54" s="86">
        <f t="shared" si="2"/>
        <v>4.7774999999999999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2.75" customHeight="1" x14ac:dyDescent="0.3">
      <c r="A55" s="14"/>
      <c r="B55" s="82">
        <v>37411</v>
      </c>
      <c r="C55" s="83" t="s">
        <v>112</v>
      </c>
      <c r="D55" s="84" t="s">
        <v>72</v>
      </c>
      <c r="E55" s="84" t="s">
        <v>111</v>
      </c>
      <c r="F55" s="85">
        <f>1*0.25</f>
        <v>0.25</v>
      </c>
      <c r="G55" s="86">
        <v>12.97</v>
      </c>
      <c r="H55" s="86">
        <f t="shared" si="2"/>
        <v>3.2425000000000002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2.75" customHeight="1" x14ac:dyDescent="0.3">
      <c r="A56" s="14"/>
      <c r="B56" s="82">
        <v>5075</v>
      </c>
      <c r="C56" s="83" t="s">
        <v>113</v>
      </c>
      <c r="D56" s="84" t="s">
        <v>72</v>
      </c>
      <c r="E56" s="84" t="s">
        <v>114</v>
      </c>
      <c r="F56" s="85">
        <v>0.02</v>
      </c>
      <c r="G56" s="86">
        <v>9.76</v>
      </c>
      <c r="H56" s="86">
        <f t="shared" si="2"/>
        <v>0.19520000000000001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2.75" customHeight="1" x14ac:dyDescent="0.3">
      <c r="A57" s="14"/>
      <c r="B57" s="82" t="s">
        <v>115</v>
      </c>
      <c r="C57" s="83" t="s">
        <v>116</v>
      </c>
      <c r="D57" s="84" t="s">
        <v>13</v>
      </c>
      <c r="E57" s="84" t="s">
        <v>14</v>
      </c>
      <c r="F57" s="85">
        <v>0.13</v>
      </c>
      <c r="G57" s="86">
        <v>17.71</v>
      </c>
      <c r="H57" s="86">
        <f t="shared" si="2"/>
        <v>2.3023000000000002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2.75" customHeight="1" x14ac:dyDescent="0.3">
      <c r="A58" s="14"/>
      <c r="B58" s="82" t="s">
        <v>117</v>
      </c>
      <c r="C58" s="83" t="s">
        <v>118</v>
      </c>
      <c r="D58" s="84" t="s">
        <v>13</v>
      </c>
      <c r="E58" s="84" t="s">
        <v>14</v>
      </c>
      <c r="F58" s="85">
        <v>0.3</v>
      </c>
      <c r="G58" s="86">
        <v>17.8</v>
      </c>
      <c r="H58" s="86">
        <f t="shared" si="2"/>
        <v>5.34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2.75" customHeight="1" x14ac:dyDescent="0.3">
      <c r="A59" s="14"/>
      <c r="B59" s="82" t="s">
        <v>84</v>
      </c>
      <c r="C59" s="83" t="s">
        <v>85</v>
      </c>
      <c r="D59" s="84" t="s">
        <v>13</v>
      </c>
      <c r="E59" s="84" t="s">
        <v>14</v>
      </c>
      <c r="F59" s="85">
        <v>0.45</v>
      </c>
      <c r="G59" s="86">
        <v>14.63</v>
      </c>
      <c r="H59" s="86">
        <f t="shared" si="2"/>
        <v>6.5835000000000008</v>
      </c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2.75" customHeight="1" x14ac:dyDescent="0.3">
      <c r="A60" s="14"/>
      <c r="B60" s="82" t="s">
        <v>119</v>
      </c>
      <c r="C60" s="83" t="s">
        <v>120</v>
      </c>
      <c r="D60" s="84" t="s">
        <v>13</v>
      </c>
      <c r="E60" s="84" t="s">
        <v>121</v>
      </c>
      <c r="F60" s="85">
        <v>1.6299999999999999E-2</v>
      </c>
      <c r="G60" s="86">
        <v>343.07</v>
      </c>
      <c r="H60" s="86">
        <f t="shared" si="2"/>
        <v>5.5920409999999992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2.75" customHeight="1" x14ac:dyDescent="0.3">
      <c r="A61" s="14"/>
      <c r="B61" s="82">
        <v>87280</v>
      </c>
      <c r="C61" s="83" t="s">
        <v>122</v>
      </c>
      <c r="D61" s="84" t="s">
        <v>13</v>
      </c>
      <c r="E61" s="84" t="s">
        <v>121</v>
      </c>
      <c r="F61" s="85">
        <f>1*0.2*0.01</f>
        <v>2E-3</v>
      </c>
      <c r="G61" s="86">
        <v>322.14999999999998</v>
      </c>
      <c r="H61" s="86">
        <f t="shared" si="2"/>
        <v>0.64429999999999998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2.75" customHeight="1" x14ac:dyDescent="0.3">
      <c r="A62" s="14"/>
      <c r="B62" s="443" t="s">
        <v>87</v>
      </c>
      <c r="C62" s="444"/>
      <c r="D62" s="444"/>
      <c r="E62" s="444"/>
      <c r="F62" s="444"/>
      <c r="G62" s="445"/>
      <c r="H62" s="8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2.75" customHeight="1" x14ac:dyDescent="0.3">
      <c r="A63" s="14"/>
      <c r="B63" s="443" t="s">
        <v>88</v>
      </c>
      <c r="C63" s="444"/>
      <c r="D63" s="444"/>
      <c r="E63" s="444"/>
      <c r="F63" s="444"/>
      <c r="G63" s="445"/>
      <c r="H63" s="87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2.75" customHeight="1" x14ac:dyDescent="0.3">
      <c r="A64" s="14"/>
      <c r="B64" s="443" t="s">
        <v>89</v>
      </c>
      <c r="C64" s="444"/>
      <c r="D64" s="444"/>
      <c r="E64" s="444"/>
      <c r="F64" s="444"/>
      <c r="G64" s="445"/>
      <c r="H64" s="88">
        <f>SUM(H53:H61)</f>
        <v>30.419340999999999</v>
      </c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2.75" customHeight="1" x14ac:dyDescent="0.3">
      <c r="A65" s="14"/>
      <c r="B65" s="443" t="s">
        <v>90</v>
      </c>
      <c r="C65" s="444"/>
      <c r="D65" s="444"/>
      <c r="E65" s="444"/>
      <c r="F65" s="444"/>
      <c r="G65" s="445"/>
      <c r="H65" s="87">
        <v>4.0999999999999996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2.75" customHeight="1" x14ac:dyDescent="0.3">
      <c r="A66" s="14"/>
      <c r="B66" s="443" t="s">
        <v>91</v>
      </c>
      <c r="C66" s="444"/>
      <c r="D66" s="444"/>
      <c r="E66" s="444"/>
      <c r="F66" s="444"/>
      <c r="G66" s="445"/>
      <c r="H66" s="87">
        <v>9.5400000000000009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2.75" customHeight="1" x14ac:dyDescent="0.3">
      <c r="A67" s="14"/>
      <c r="B67" s="443" t="s">
        <v>92</v>
      </c>
      <c r="C67" s="444"/>
      <c r="D67" s="444"/>
      <c r="E67" s="444"/>
      <c r="F67" s="444"/>
      <c r="G67" s="445"/>
      <c r="H67" s="87">
        <v>0</v>
      </c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2.75" customHeight="1" x14ac:dyDescent="0.3">
      <c r="A68" s="14"/>
      <c r="B68" s="443" t="s">
        <v>93</v>
      </c>
      <c r="C68" s="444"/>
      <c r="D68" s="444"/>
      <c r="E68" s="444"/>
      <c r="F68" s="444"/>
      <c r="G68" s="445"/>
      <c r="H68" s="87">
        <v>13.64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2.75" customHeight="1" x14ac:dyDescent="0.3">
      <c r="A69" s="14"/>
      <c r="B69" s="443" t="s">
        <v>94</v>
      </c>
      <c r="C69" s="444"/>
      <c r="D69" s="444"/>
      <c r="E69" s="444"/>
      <c r="F69" s="444"/>
      <c r="G69" s="445"/>
      <c r="H69" s="88">
        <f>ROUNDDOWN(H64+H68,2)</f>
        <v>44.05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2.75" customHeight="1" x14ac:dyDescent="0.3">
      <c r="A70" s="14"/>
      <c r="B70" s="443" t="s">
        <v>95</v>
      </c>
      <c r="C70" s="444"/>
      <c r="D70" s="444"/>
      <c r="E70" s="444"/>
      <c r="F70" s="444"/>
      <c r="G70" s="445"/>
      <c r="H70" s="87">
        <v>254.41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2.75" customHeight="1" x14ac:dyDescent="0.3">
      <c r="A71" s="14"/>
      <c r="B71" s="443" t="s">
        <v>96</v>
      </c>
      <c r="C71" s="444"/>
      <c r="D71" s="444"/>
      <c r="E71" s="444"/>
      <c r="F71" s="444"/>
      <c r="G71" s="445"/>
      <c r="H71" s="88">
        <f>ROUNDDOWN(H69*H70,2)</f>
        <v>11206.76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2.75" customHeight="1" x14ac:dyDescent="0.3">
      <c r="A72" s="14"/>
      <c r="B72" s="78" t="s">
        <v>123</v>
      </c>
      <c r="C72" s="78" t="s">
        <v>124</v>
      </c>
      <c r="D72" s="79" t="s">
        <v>69</v>
      </c>
      <c r="E72" s="79" t="s">
        <v>125</v>
      </c>
      <c r="F72" s="80"/>
      <c r="G72" s="81"/>
      <c r="H72" s="81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3">
      <c r="A73" s="14"/>
      <c r="B73" s="82">
        <v>4777</v>
      </c>
      <c r="C73" s="83" t="s">
        <v>126</v>
      </c>
      <c r="D73" s="84" t="s">
        <v>127</v>
      </c>
      <c r="E73" s="84" t="s">
        <v>114</v>
      </c>
      <c r="F73" s="85">
        <f>12.5*2*M73</f>
        <v>87</v>
      </c>
      <c r="G73" s="86">
        <v>3.98</v>
      </c>
      <c r="H73" s="86">
        <f t="shared" ref="H73:H85" si="3">F73*G73</f>
        <v>346.26</v>
      </c>
      <c r="I73" s="14"/>
      <c r="J73" s="14"/>
      <c r="K73" s="14"/>
      <c r="L73" s="14" t="s">
        <v>128</v>
      </c>
      <c r="M73" s="14">
        <v>3.48</v>
      </c>
      <c r="N73" s="14" t="s">
        <v>129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2.75" customHeight="1" x14ac:dyDescent="0.3">
      <c r="A74" s="14"/>
      <c r="B74" s="82" t="s">
        <v>130</v>
      </c>
      <c r="C74" s="83" t="s">
        <v>131</v>
      </c>
      <c r="D74" s="84" t="s">
        <v>127</v>
      </c>
      <c r="E74" s="84" t="s">
        <v>73</v>
      </c>
      <c r="F74" s="85">
        <f>(1+1.9+1+1.9)*6</f>
        <v>34.799999999999997</v>
      </c>
      <c r="G74" s="86">
        <v>14.64</v>
      </c>
      <c r="H74" s="86">
        <f t="shared" si="3"/>
        <v>509.47199999999998</v>
      </c>
      <c r="I74" s="14"/>
      <c r="J74" s="14"/>
      <c r="K74" s="14"/>
      <c r="L74" s="14"/>
      <c r="M74" s="14" t="s">
        <v>132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2.75" customHeight="1" x14ac:dyDescent="0.3">
      <c r="A75" s="14"/>
      <c r="B75" s="82" t="s">
        <v>133</v>
      </c>
      <c r="C75" s="83" t="s">
        <v>134</v>
      </c>
      <c r="D75" s="84" t="s">
        <v>127</v>
      </c>
      <c r="E75" s="84" t="s">
        <v>73</v>
      </c>
      <c r="F75" s="85">
        <f>(6+6+6+2.2+2.2+2.2+2.2)*2+(0.5+0.5+0.5+0.5+6+1.15+1.15+1.15+1.15)</f>
        <v>66.199999999999989</v>
      </c>
      <c r="G75" s="86">
        <v>22.52</v>
      </c>
      <c r="H75" s="86">
        <f t="shared" si="3"/>
        <v>1490.8239999999996</v>
      </c>
      <c r="I75" s="14"/>
      <c r="J75" s="14"/>
      <c r="K75" s="14"/>
      <c r="L75" s="14" t="s">
        <v>135</v>
      </c>
      <c r="M75" s="14">
        <v>7</v>
      </c>
      <c r="N75" s="14" t="s">
        <v>136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2.75" customHeight="1" x14ac:dyDescent="0.3">
      <c r="A76" s="14"/>
      <c r="B76" s="82">
        <v>10927</v>
      </c>
      <c r="C76" s="83" t="s">
        <v>137</v>
      </c>
      <c r="D76" s="84" t="s">
        <v>127</v>
      </c>
      <c r="E76" s="84" t="s">
        <v>111</v>
      </c>
      <c r="F76" s="85">
        <f>1*1.9*6*1.1</f>
        <v>12.54</v>
      </c>
      <c r="G76" s="86">
        <v>17.91</v>
      </c>
      <c r="H76" s="86">
        <f t="shared" si="3"/>
        <v>224.59139999999999</v>
      </c>
      <c r="I76" s="14"/>
      <c r="J76" s="14"/>
      <c r="K76" s="14"/>
      <c r="L76" s="14" t="s">
        <v>138</v>
      </c>
      <c r="M76" s="14">
        <v>4.5</v>
      </c>
      <c r="N76" s="14" t="s">
        <v>136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2.75" customHeight="1" x14ac:dyDescent="0.3">
      <c r="A77" s="14"/>
      <c r="B77" s="82">
        <v>72183</v>
      </c>
      <c r="C77" s="83" t="s">
        <v>139</v>
      </c>
      <c r="D77" s="84" t="s">
        <v>140</v>
      </c>
      <c r="E77" s="84" t="s">
        <v>111</v>
      </c>
      <c r="F77" s="85">
        <f>12.5*0.85</f>
        <v>10.625</v>
      </c>
      <c r="G77" s="86">
        <v>80.45</v>
      </c>
      <c r="H77" s="86">
        <f t="shared" si="3"/>
        <v>854.78125</v>
      </c>
      <c r="I77" s="14"/>
      <c r="J77" s="14"/>
      <c r="K77" s="14"/>
      <c r="L77" s="14" t="s">
        <v>141</v>
      </c>
      <c r="M77" s="14">
        <v>11.5</v>
      </c>
      <c r="N77" s="14" t="s">
        <v>136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2.75" customHeight="1" x14ac:dyDescent="0.3">
      <c r="A78" s="14"/>
      <c r="B78" s="82">
        <v>38179</v>
      </c>
      <c r="C78" s="83" t="s">
        <v>142</v>
      </c>
      <c r="D78" s="84" t="s">
        <v>127</v>
      </c>
      <c r="E78" s="84" t="s">
        <v>75</v>
      </c>
      <c r="F78" s="85">
        <v>8</v>
      </c>
      <c r="G78" s="86">
        <v>25.1</v>
      </c>
      <c r="H78" s="86">
        <f t="shared" si="3"/>
        <v>200.8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2.75" customHeight="1" x14ac:dyDescent="0.3">
      <c r="A79" s="14"/>
      <c r="B79" s="82">
        <v>98764</v>
      </c>
      <c r="C79" s="83" t="s">
        <v>143</v>
      </c>
      <c r="D79" s="84" t="s">
        <v>140</v>
      </c>
      <c r="E79" s="84" t="s">
        <v>144</v>
      </c>
      <c r="F79" s="85">
        <f>6*2.2*3.82*0.7</f>
        <v>35.296799999999998</v>
      </c>
      <c r="G79" s="86">
        <v>4.2</v>
      </c>
      <c r="H79" s="86">
        <f t="shared" si="3"/>
        <v>148.24655999999999</v>
      </c>
      <c r="I79" s="14"/>
      <c r="J79" s="14"/>
      <c r="K79" s="14"/>
      <c r="L79" s="14" t="s">
        <v>145</v>
      </c>
      <c r="M79" s="14">
        <v>3.82</v>
      </c>
      <c r="N79" s="14" t="s">
        <v>136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2.75" customHeight="1" x14ac:dyDescent="0.3">
      <c r="A80" s="14"/>
      <c r="B80" s="82">
        <v>98765</v>
      </c>
      <c r="C80" s="83" t="s">
        <v>146</v>
      </c>
      <c r="D80" s="84" t="s">
        <v>140</v>
      </c>
      <c r="E80" s="84" t="s">
        <v>147</v>
      </c>
      <c r="F80" s="85">
        <f>6*2.2*0.67*0.7</f>
        <v>6.1908000000000003</v>
      </c>
      <c r="G80" s="86">
        <v>0.06</v>
      </c>
      <c r="H80" s="86">
        <f t="shared" si="3"/>
        <v>0.371448</v>
      </c>
      <c r="I80" s="14"/>
      <c r="J80" s="14"/>
      <c r="K80" s="14"/>
      <c r="L80" s="14" t="s">
        <v>145</v>
      </c>
      <c r="M80" s="14">
        <v>0.67</v>
      </c>
      <c r="N80" s="14" t="s">
        <v>136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2.75" customHeight="1" x14ac:dyDescent="0.3">
      <c r="A81" s="14"/>
      <c r="B81" s="82" t="s">
        <v>148</v>
      </c>
      <c r="C81" s="83" t="s">
        <v>149</v>
      </c>
      <c r="D81" s="84" t="s">
        <v>127</v>
      </c>
      <c r="E81" s="84" t="s">
        <v>114</v>
      </c>
      <c r="F81" s="85">
        <f>6*2.2*3.37*0.7</f>
        <v>31.1388</v>
      </c>
      <c r="G81" s="86">
        <v>14.45</v>
      </c>
      <c r="H81" s="86">
        <f t="shared" si="3"/>
        <v>449.95565999999997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2.75" customHeight="1" x14ac:dyDescent="0.3">
      <c r="A82" s="14"/>
      <c r="B82" s="82" t="s">
        <v>150</v>
      </c>
      <c r="C82" s="83" t="s">
        <v>118</v>
      </c>
      <c r="D82" s="84" t="s">
        <v>151</v>
      </c>
      <c r="E82" s="84" t="s">
        <v>14</v>
      </c>
      <c r="F82" s="85">
        <v>8.3000000000000007</v>
      </c>
      <c r="G82" s="86">
        <v>17.8</v>
      </c>
      <c r="H82" s="86">
        <f t="shared" si="3"/>
        <v>147.74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2.75" customHeight="1" x14ac:dyDescent="0.3">
      <c r="A83" s="14"/>
      <c r="B83" s="82">
        <v>88316</v>
      </c>
      <c r="C83" s="83" t="s">
        <v>85</v>
      </c>
      <c r="D83" s="84" t="s">
        <v>151</v>
      </c>
      <c r="E83" s="84" t="s">
        <v>14</v>
      </c>
      <c r="F83" s="85">
        <f>6*2.2*M77*0.65</f>
        <v>98.670000000000016</v>
      </c>
      <c r="G83" s="86">
        <v>14.63</v>
      </c>
      <c r="H83" s="86">
        <f t="shared" si="3"/>
        <v>1443.5421000000003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2.75" customHeight="1" x14ac:dyDescent="0.3">
      <c r="A84" s="14"/>
      <c r="B84" s="82">
        <v>88317</v>
      </c>
      <c r="C84" s="83" t="s">
        <v>152</v>
      </c>
      <c r="D84" s="84" t="s">
        <v>151</v>
      </c>
      <c r="E84" s="84" t="s">
        <v>14</v>
      </c>
      <c r="F84" s="85">
        <f>6*2.2*M76*0.65</f>
        <v>38.610000000000007</v>
      </c>
      <c r="G84" s="86">
        <v>20.53</v>
      </c>
      <c r="H84" s="86">
        <f t="shared" si="3"/>
        <v>792.66330000000016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2.75" customHeight="1" x14ac:dyDescent="0.3">
      <c r="A85" s="14"/>
      <c r="B85" s="82">
        <v>88315</v>
      </c>
      <c r="C85" s="83" t="s">
        <v>153</v>
      </c>
      <c r="D85" s="84" t="s">
        <v>151</v>
      </c>
      <c r="E85" s="84" t="s">
        <v>14</v>
      </c>
      <c r="F85" s="85">
        <f>6*2.2*M75*0.65</f>
        <v>60.06</v>
      </c>
      <c r="G85" s="86">
        <v>17.71</v>
      </c>
      <c r="H85" s="86">
        <f t="shared" si="3"/>
        <v>1063.6626000000001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2.75" customHeight="1" x14ac:dyDescent="0.3">
      <c r="A86" s="14"/>
      <c r="B86" s="443" t="s">
        <v>87</v>
      </c>
      <c r="C86" s="444"/>
      <c r="D86" s="444"/>
      <c r="E86" s="444"/>
      <c r="F86" s="444"/>
      <c r="G86" s="445"/>
      <c r="H86" s="87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2.75" customHeight="1" x14ac:dyDescent="0.3">
      <c r="A87" s="14"/>
      <c r="B87" s="443" t="s">
        <v>88</v>
      </c>
      <c r="C87" s="444"/>
      <c r="D87" s="444"/>
      <c r="E87" s="444"/>
      <c r="F87" s="444"/>
      <c r="G87" s="445"/>
      <c r="H87" s="87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2.75" customHeight="1" x14ac:dyDescent="0.3">
      <c r="A88" s="14"/>
      <c r="B88" s="443" t="s">
        <v>89</v>
      </c>
      <c r="C88" s="444"/>
      <c r="D88" s="444"/>
      <c r="E88" s="444"/>
      <c r="F88" s="444"/>
      <c r="G88" s="445"/>
      <c r="H88" s="88">
        <f>SUM(H73:H85)</f>
        <v>7672.9103180000002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2.75" customHeight="1" x14ac:dyDescent="0.3">
      <c r="A89" s="14"/>
      <c r="B89" s="443" t="s">
        <v>90</v>
      </c>
      <c r="C89" s="444"/>
      <c r="D89" s="444"/>
      <c r="E89" s="444"/>
      <c r="F89" s="444"/>
      <c r="G89" s="445"/>
      <c r="H89" s="87">
        <v>4.0999999999999996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2.75" customHeight="1" x14ac:dyDescent="0.3">
      <c r="A90" s="14"/>
      <c r="B90" s="443" t="s">
        <v>91</v>
      </c>
      <c r="C90" s="444"/>
      <c r="D90" s="444"/>
      <c r="E90" s="444"/>
      <c r="F90" s="444"/>
      <c r="G90" s="445"/>
      <c r="H90" s="87">
        <v>9.5400000000000009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3">
      <c r="A91" s="14"/>
      <c r="B91" s="443" t="s">
        <v>92</v>
      </c>
      <c r="C91" s="444"/>
      <c r="D91" s="444"/>
      <c r="E91" s="444"/>
      <c r="F91" s="444"/>
      <c r="G91" s="445"/>
      <c r="H91" s="87">
        <v>0</v>
      </c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3">
      <c r="A92" s="14"/>
      <c r="B92" s="443" t="s">
        <v>93</v>
      </c>
      <c r="C92" s="444"/>
      <c r="D92" s="444"/>
      <c r="E92" s="444"/>
      <c r="F92" s="444"/>
      <c r="G92" s="445"/>
      <c r="H92" s="87">
        <v>13.64</v>
      </c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3">
      <c r="A93" s="14"/>
      <c r="B93" s="443" t="s">
        <v>94</v>
      </c>
      <c r="C93" s="444"/>
      <c r="D93" s="444"/>
      <c r="E93" s="444"/>
      <c r="F93" s="444"/>
      <c r="G93" s="445"/>
      <c r="H93" s="88">
        <f>ROUNDDOWN(H88+H92,2)</f>
        <v>7686.55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3">
      <c r="A94" s="14"/>
      <c r="B94" s="443" t="s">
        <v>95</v>
      </c>
      <c r="C94" s="444"/>
      <c r="D94" s="444"/>
      <c r="E94" s="444"/>
      <c r="F94" s="444"/>
      <c r="G94" s="445"/>
      <c r="H94" s="87">
        <v>254.41</v>
      </c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2.75" customHeight="1" x14ac:dyDescent="0.3">
      <c r="A95" s="14"/>
      <c r="B95" s="443" t="s">
        <v>96</v>
      </c>
      <c r="C95" s="444"/>
      <c r="D95" s="444"/>
      <c r="E95" s="444"/>
      <c r="F95" s="444"/>
      <c r="G95" s="445"/>
      <c r="H95" s="88">
        <f>ROUNDDOWN(H93*H94,2)</f>
        <v>1955535.18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2.75" customHeight="1" x14ac:dyDescent="0.3">
      <c r="A96" s="14"/>
      <c r="B96" s="91"/>
      <c r="C96" s="91"/>
      <c r="D96" s="91"/>
      <c r="E96" s="91"/>
      <c r="F96" s="91"/>
      <c r="G96" s="91"/>
      <c r="H96" s="88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2.75" customHeight="1" x14ac:dyDescent="0.3">
      <c r="A97" s="14"/>
      <c r="B97" s="78" t="s">
        <v>123</v>
      </c>
      <c r="C97" s="78" t="s">
        <v>154</v>
      </c>
      <c r="D97" s="79" t="s">
        <v>69</v>
      </c>
      <c r="E97" s="79" t="s">
        <v>125</v>
      </c>
      <c r="F97" s="80"/>
      <c r="G97" s="81"/>
      <c r="H97" s="81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2.75" customHeight="1" x14ac:dyDescent="0.3">
      <c r="A98" s="14"/>
      <c r="B98" s="82" t="s">
        <v>130</v>
      </c>
      <c r="C98" s="83" t="s">
        <v>131</v>
      </c>
      <c r="D98" s="84" t="s">
        <v>127</v>
      </c>
      <c r="E98" s="84" t="s">
        <v>73</v>
      </c>
      <c r="F98" s="85">
        <f>(0.75+0.9+0.75+0.9)*2</f>
        <v>6.6</v>
      </c>
      <c r="G98" s="86">
        <v>14.64</v>
      </c>
      <c r="H98" s="86">
        <f t="shared" ref="H98:H109" si="4">F98*G98</f>
        <v>96.623999999999995</v>
      </c>
      <c r="I98" s="14"/>
      <c r="J98" s="14"/>
      <c r="K98" s="14"/>
      <c r="L98" s="14"/>
      <c r="M98" s="14" t="s">
        <v>132</v>
      </c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2.75" customHeight="1" x14ac:dyDescent="0.3">
      <c r="A99" s="14"/>
      <c r="B99" s="82" t="s">
        <v>133</v>
      </c>
      <c r="C99" s="83" t="s">
        <v>134</v>
      </c>
      <c r="D99" s="84" t="s">
        <v>127</v>
      </c>
      <c r="E99" s="84" t="s">
        <v>73</v>
      </c>
      <c r="F99" s="85">
        <f>(1+1+2.1+1+2.1+2.1+2.1)*2</f>
        <v>22.799999999999997</v>
      </c>
      <c r="G99" s="86">
        <v>22.52</v>
      </c>
      <c r="H99" s="86">
        <f t="shared" si="4"/>
        <v>513.4559999999999</v>
      </c>
      <c r="I99" s="14"/>
      <c r="J99" s="14"/>
      <c r="K99" s="14"/>
      <c r="L99" s="14" t="s">
        <v>135</v>
      </c>
      <c r="M99" s="14">
        <v>7</v>
      </c>
      <c r="N99" s="14" t="s">
        <v>136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2.75" customHeight="1" x14ac:dyDescent="0.3">
      <c r="A100" s="14"/>
      <c r="B100" s="82">
        <v>10927</v>
      </c>
      <c r="C100" s="83" t="s">
        <v>137</v>
      </c>
      <c r="D100" s="84" t="s">
        <v>127</v>
      </c>
      <c r="E100" s="84" t="s">
        <v>111</v>
      </c>
      <c r="F100" s="85">
        <f>0.75*0.9*2</f>
        <v>1.35</v>
      </c>
      <c r="G100" s="86">
        <v>17.91</v>
      </c>
      <c r="H100" s="86">
        <f t="shared" si="4"/>
        <v>24.178500000000003</v>
      </c>
      <c r="I100" s="14"/>
      <c r="J100" s="14"/>
      <c r="K100" s="14"/>
      <c r="L100" s="14" t="s">
        <v>138</v>
      </c>
      <c r="M100" s="14">
        <v>4.5</v>
      </c>
      <c r="N100" s="14" t="s">
        <v>136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2.75" customHeight="1" x14ac:dyDescent="0.3">
      <c r="A101" s="14"/>
      <c r="B101" s="82">
        <v>5088</v>
      </c>
      <c r="C101" s="83" t="s">
        <v>155</v>
      </c>
      <c r="D101" s="84"/>
      <c r="E101" s="84" t="s">
        <v>75</v>
      </c>
      <c r="F101" s="85">
        <v>1</v>
      </c>
      <c r="G101" s="86">
        <v>2.27</v>
      </c>
      <c r="H101" s="86">
        <f t="shared" si="4"/>
        <v>2.27</v>
      </c>
      <c r="I101" s="14"/>
      <c r="J101" s="14"/>
      <c r="K101" s="14"/>
      <c r="L101" s="14" t="s">
        <v>141</v>
      </c>
      <c r="M101" s="14">
        <v>11.5</v>
      </c>
      <c r="N101" s="14" t="s">
        <v>136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2.75" customHeight="1" x14ac:dyDescent="0.3">
      <c r="A102" s="14"/>
      <c r="B102" s="82">
        <v>2432</v>
      </c>
      <c r="C102" s="83" t="s">
        <v>156</v>
      </c>
      <c r="D102" s="84" t="s">
        <v>127</v>
      </c>
      <c r="E102" s="84" t="s">
        <v>75</v>
      </c>
      <c r="F102" s="85">
        <v>3</v>
      </c>
      <c r="G102" s="86">
        <v>38.869999999999997</v>
      </c>
      <c r="H102" s="86">
        <f t="shared" si="4"/>
        <v>116.60999999999999</v>
      </c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2.75" customHeight="1" x14ac:dyDescent="0.3">
      <c r="A103" s="14"/>
      <c r="B103" s="82">
        <v>98764</v>
      </c>
      <c r="C103" s="83" t="s">
        <v>143</v>
      </c>
      <c r="D103" s="84" t="s">
        <v>140</v>
      </c>
      <c r="E103" s="84" t="s">
        <v>144</v>
      </c>
      <c r="F103" s="85">
        <f>1*2.1*3.82*0.7</f>
        <v>5.6154000000000002</v>
      </c>
      <c r="G103" s="86">
        <v>4.2</v>
      </c>
      <c r="H103" s="86">
        <f t="shared" si="4"/>
        <v>23.584680000000002</v>
      </c>
      <c r="I103" s="14"/>
      <c r="J103" s="14"/>
      <c r="K103" s="14"/>
      <c r="L103" s="14" t="s">
        <v>145</v>
      </c>
      <c r="M103" s="14">
        <v>3.82</v>
      </c>
      <c r="N103" s="14" t="s">
        <v>136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2.75" customHeight="1" x14ac:dyDescent="0.3">
      <c r="A104" s="14"/>
      <c r="B104" s="82">
        <v>98765</v>
      </c>
      <c r="C104" s="83" t="s">
        <v>146</v>
      </c>
      <c r="D104" s="84" t="s">
        <v>140</v>
      </c>
      <c r="E104" s="84" t="s">
        <v>147</v>
      </c>
      <c r="F104" s="85">
        <f>1*2.1*0.67*0.7</f>
        <v>0.98490000000000011</v>
      </c>
      <c r="G104" s="86">
        <v>0.06</v>
      </c>
      <c r="H104" s="86">
        <f t="shared" si="4"/>
        <v>5.9094000000000008E-2</v>
      </c>
      <c r="I104" s="14"/>
      <c r="J104" s="14"/>
      <c r="K104" s="14"/>
      <c r="L104" s="14" t="s">
        <v>145</v>
      </c>
      <c r="M104" s="14">
        <v>0.67</v>
      </c>
      <c r="N104" s="14" t="s">
        <v>136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2.75" customHeight="1" x14ac:dyDescent="0.3">
      <c r="A105" s="14"/>
      <c r="B105" s="82" t="s">
        <v>148</v>
      </c>
      <c r="C105" s="83" t="s">
        <v>149</v>
      </c>
      <c r="D105" s="84" t="s">
        <v>127</v>
      </c>
      <c r="E105" s="84" t="s">
        <v>114</v>
      </c>
      <c r="F105" s="85">
        <f>1*2.1*3.37*0.7</f>
        <v>4.9539</v>
      </c>
      <c r="G105" s="86">
        <v>14.45</v>
      </c>
      <c r="H105" s="86">
        <f t="shared" si="4"/>
        <v>71.583855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2.75" customHeight="1" x14ac:dyDescent="0.3">
      <c r="A106" s="14"/>
      <c r="B106" s="82" t="s">
        <v>150</v>
      </c>
      <c r="C106" s="83" t="s">
        <v>118</v>
      </c>
      <c r="D106" s="84" t="s">
        <v>151</v>
      </c>
      <c r="E106" s="84" t="s">
        <v>14</v>
      </c>
      <c r="F106" s="85">
        <v>2.2999999999999998</v>
      </c>
      <c r="G106" s="86">
        <v>17.8</v>
      </c>
      <c r="H106" s="86">
        <f t="shared" si="4"/>
        <v>40.94</v>
      </c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2.75" customHeight="1" x14ac:dyDescent="0.3">
      <c r="A107" s="14"/>
      <c r="B107" s="82">
        <v>88316</v>
      </c>
      <c r="C107" s="83" t="s">
        <v>85</v>
      </c>
      <c r="D107" s="84" t="s">
        <v>151</v>
      </c>
      <c r="E107" s="84" t="s">
        <v>14</v>
      </c>
      <c r="F107" s="85">
        <f>1*2.1*M101*0.65</f>
        <v>15.697500000000002</v>
      </c>
      <c r="G107" s="86">
        <v>14.63</v>
      </c>
      <c r="H107" s="86">
        <f t="shared" si="4"/>
        <v>229.65442500000003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2.75" customHeight="1" x14ac:dyDescent="0.3">
      <c r="A108" s="14"/>
      <c r="B108" s="82">
        <v>88317</v>
      </c>
      <c r="C108" s="83" t="s">
        <v>152</v>
      </c>
      <c r="D108" s="84" t="s">
        <v>151</v>
      </c>
      <c r="E108" s="84" t="s">
        <v>14</v>
      </c>
      <c r="F108" s="85">
        <f>1*2.1*M100*0.65</f>
        <v>6.142500000000001</v>
      </c>
      <c r="G108" s="86">
        <v>20.53</v>
      </c>
      <c r="H108" s="86">
        <f t="shared" si="4"/>
        <v>126.10552500000003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2.75" customHeight="1" x14ac:dyDescent="0.3">
      <c r="A109" s="14"/>
      <c r="B109" s="82">
        <v>88315</v>
      </c>
      <c r="C109" s="83" t="s">
        <v>153</v>
      </c>
      <c r="D109" s="84" t="s">
        <v>151</v>
      </c>
      <c r="E109" s="84" t="s">
        <v>14</v>
      </c>
      <c r="F109" s="85">
        <f>1*2.1*M99*0.65</f>
        <v>9.5550000000000015</v>
      </c>
      <c r="G109" s="86">
        <v>17.71</v>
      </c>
      <c r="H109" s="86">
        <f t="shared" si="4"/>
        <v>169.21905000000004</v>
      </c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2.75" customHeight="1" x14ac:dyDescent="0.3">
      <c r="A110" s="14"/>
      <c r="B110" s="443" t="s">
        <v>87</v>
      </c>
      <c r="C110" s="444"/>
      <c r="D110" s="444"/>
      <c r="E110" s="444"/>
      <c r="F110" s="444"/>
      <c r="G110" s="445"/>
      <c r="H110" s="87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2.75" customHeight="1" x14ac:dyDescent="0.3">
      <c r="A111" s="14"/>
      <c r="B111" s="443" t="s">
        <v>88</v>
      </c>
      <c r="C111" s="444"/>
      <c r="D111" s="444"/>
      <c r="E111" s="444"/>
      <c r="F111" s="444"/>
      <c r="G111" s="445"/>
      <c r="H111" s="87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2.75" customHeight="1" x14ac:dyDescent="0.3">
      <c r="A112" s="14"/>
      <c r="B112" s="443" t="s">
        <v>89</v>
      </c>
      <c r="C112" s="444"/>
      <c r="D112" s="444"/>
      <c r="E112" s="444"/>
      <c r="F112" s="444"/>
      <c r="G112" s="445"/>
      <c r="H112" s="88">
        <f>SUM(H98:H109)</f>
        <v>1414.2851289999999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2.75" customHeight="1" x14ac:dyDescent="0.3">
      <c r="A113" s="14"/>
      <c r="B113" s="443" t="s">
        <v>90</v>
      </c>
      <c r="C113" s="444"/>
      <c r="D113" s="444"/>
      <c r="E113" s="444"/>
      <c r="F113" s="444"/>
      <c r="G113" s="445"/>
      <c r="H113" s="87">
        <v>4.0999999999999996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2.75" customHeight="1" x14ac:dyDescent="0.3">
      <c r="A114" s="14"/>
      <c r="B114" s="443" t="s">
        <v>91</v>
      </c>
      <c r="C114" s="444"/>
      <c r="D114" s="444"/>
      <c r="E114" s="444"/>
      <c r="F114" s="444"/>
      <c r="G114" s="445"/>
      <c r="H114" s="87">
        <v>9.5400000000000009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2.75" customHeight="1" x14ac:dyDescent="0.3">
      <c r="A115" s="14"/>
      <c r="B115" s="443" t="s">
        <v>92</v>
      </c>
      <c r="C115" s="444"/>
      <c r="D115" s="444"/>
      <c r="E115" s="444"/>
      <c r="F115" s="444"/>
      <c r="G115" s="445"/>
      <c r="H115" s="87">
        <v>0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2.75" customHeight="1" x14ac:dyDescent="0.3">
      <c r="A116" s="14"/>
      <c r="B116" s="443" t="s">
        <v>93</v>
      </c>
      <c r="C116" s="444"/>
      <c r="D116" s="444"/>
      <c r="E116" s="444"/>
      <c r="F116" s="444"/>
      <c r="G116" s="445"/>
      <c r="H116" s="87">
        <v>13.64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2.75" customHeight="1" x14ac:dyDescent="0.3">
      <c r="A117" s="14"/>
      <c r="B117" s="443" t="s">
        <v>94</v>
      </c>
      <c r="C117" s="444"/>
      <c r="D117" s="444"/>
      <c r="E117" s="444"/>
      <c r="F117" s="444"/>
      <c r="G117" s="445"/>
      <c r="H117" s="88">
        <f>ROUNDDOWN(H112+H116,2)</f>
        <v>1427.92</v>
      </c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2.75" customHeight="1" x14ac:dyDescent="0.3">
      <c r="A118" s="14"/>
      <c r="B118" s="443" t="s">
        <v>95</v>
      </c>
      <c r="C118" s="444"/>
      <c r="D118" s="444"/>
      <c r="E118" s="444"/>
      <c r="F118" s="444"/>
      <c r="G118" s="445"/>
      <c r="H118" s="87">
        <v>254.41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2.75" customHeight="1" x14ac:dyDescent="0.3">
      <c r="A119" s="14"/>
      <c r="B119" s="443" t="s">
        <v>96</v>
      </c>
      <c r="C119" s="444"/>
      <c r="D119" s="444"/>
      <c r="E119" s="444"/>
      <c r="F119" s="444"/>
      <c r="G119" s="445"/>
      <c r="H119" s="88">
        <f>ROUNDDOWN(H117*H118,2)</f>
        <v>363277.12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2.75" customHeight="1" x14ac:dyDescent="0.3">
      <c r="A120" s="14"/>
      <c r="B120" s="448"/>
      <c r="C120" s="444"/>
      <c r="D120" s="444"/>
      <c r="E120" s="444"/>
      <c r="F120" s="444"/>
      <c r="G120" s="444"/>
      <c r="H120" s="44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2.75" customHeight="1" x14ac:dyDescent="0.3">
      <c r="A121" s="14"/>
      <c r="B121" s="78" t="s">
        <v>123</v>
      </c>
      <c r="C121" s="78" t="s">
        <v>157</v>
      </c>
      <c r="D121" s="79" t="s">
        <v>69</v>
      </c>
      <c r="E121" s="79" t="s">
        <v>73</v>
      </c>
      <c r="F121" s="80"/>
      <c r="G121" s="81"/>
      <c r="H121" s="81"/>
      <c r="I121" s="14"/>
      <c r="J121" s="14" t="s">
        <v>158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2.75" customHeight="1" x14ac:dyDescent="0.3">
      <c r="A122" s="14"/>
      <c r="B122" s="82">
        <v>3267</v>
      </c>
      <c r="C122" s="83" t="s">
        <v>159</v>
      </c>
      <c r="D122" s="84" t="s">
        <v>72</v>
      </c>
      <c r="E122" s="84" t="s">
        <v>75</v>
      </c>
      <c r="F122" s="85">
        <v>0.05</v>
      </c>
      <c r="G122" s="86">
        <v>0.35</v>
      </c>
      <c r="H122" s="86">
        <f t="shared" ref="H122:H127" si="5">F122*G122</f>
        <v>1.7499999999999998E-2</v>
      </c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2.75" customHeight="1" x14ac:dyDescent="0.3">
      <c r="A123" s="14"/>
      <c r="B123" s="82">
        <v>3408</v>
      </c>
      <c r="C123" s="83" t="s">
        <v>160</v>
      </c>
      <c r="D123" s="84" t="s">
        <v>72</v>
      </c>
      <c r="E123" s="84" t="s">
        <v>161</v>
      </c>
      <c r="F123" s="85">
        <f>0.1*1.1</f>
        <v>0.11000000000000001</v>
      </c>
      <c r="G123" s="86">
        <v>7.37</v>
      </c>
      <c r="H123" s="86">
        <f t="shared" si="5"/>
        <v>0.81070000000000009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2.75" customHeight="1" x14ac:dyDescent="0.3">
      <c r="A124" s="14"/>
      <c r="B124" s="82">
        <v>11849</v>
      </c>
      <c r="C124" s="83" t="s">
        <v>162</v>
      </c>
      <c r="D124" s="84" t="s">
        <v>72</v>
      </c>
      <c r="E124" s="84" t="s">
        <v>163</v>
      </c>
      <c r="F124" s="85">
        <v>6.2420000000000003E-2</v>
      </c>
      <c r="G124" s="86">
        <v>9.4600000000000009</v>
      </c>
      <c r="H124" s="86">
        <f t="shared" si="5"/>
        <v>0.59049320000000005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2.75" customHeight="1" x14ac:dyDescent="0.3">
      <c r="A125" s="14"/>
      <c r="B125" s="82">
        <v>142</v>
      </c>
      <c r="C125" s="83" t="s">
        <v>164</v>
      </c>
      <c r="D125" s="84" t="s">
        <v>72</v>
      </c>
      <c r="E125" s="84" t="s">
        <v>165</v>
      </c>
      <c r="F125" s="85">
        <v>0.66666999999999998</v>
      </c>
      <c r="G125" s="86">
        <v>32.29</v>
      </c>
      <c r="H125" s="86">
        <f t="shared" si="5"/>
        <v>21.5267743</v>
      </c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2.75" customHeight="1" x14ac:dyDescent="0.3">
      <c r="A126" s="14"/>
      <c r="B126" s="82">
        <v>88310</v>
      </c>
      <c r="C126" s="83" t="s">
        <v>118</v>
      </c>
      <c r="D126" s="84" t="s">
        <v>13</v>
      </c>
      <c r="E126" s="84" t="s">
        <v>14</v>
      </c>
      <c r="F126" s="85">
        <v>5.6300000000000003E-2</v>
      </c>
      <c r="G126" s="86">
        <v>17.8</v>
      </c>
      <c r="H126" s="86">
        <f t="shared" si="5"/>
        <v>1.00214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2.75" customHeight="1" x14ac:dyDescent="0.3">
      <c r="A127" s="14"/>
      <c r="B127" s="82">
        <v>88316</v>
      </c>
      <c r="C127" s="83" t="s">
        <v>166</v>
      </c>
      <c r="D127" s="84" t="s">
        <v>13</v>
      </c>
      <c r="E127" s="84" t="s">
        <v>14</v>
      </c>
      <c r="F127" s="85">
        <v>5.5800000000000002E-2</v>
      </c>
      <c r="G127" s="86">
        <v>14.63</v>
      </c>
      <c r="H127" s="86">
        <f t="shared" si="5"/>
        <v>0.81635400000000002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2.75" customHeight="1" x14ac:dyDescent="0.3">
      <c r="A128" s="14"/>
      <c r="B128" s="447" t="s">
        <v>87</v>
      </c>
      <c r="C128" s="444"/>
      <c r="D128" s="444"/>
      <c r="E128" s="444"/>
      <c r="F128" s="444"/>
      <c r="G128" s="445"/>
      <c r="H128" s="8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2.75" customHeight="1" x14ac:dyDescent="0.3">
      <c r="A129" s="14"/>
      <c r="B129" s="447" t="s">
        <v>88</v>
      </c>
      <c r="C129" s="444"/>
      <c r="D129" s="444"/>
      <c r="E129" s="444"/>
      <c r="F129" s="444"/>
      <c r="G129" s="445"/>
      <c r="H129" s="8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2.75" customHeight="1" x14ac:dyDescent="0.3">
      <c r="A130" s="14"/>
      <c r="B130" s="447" t="s">
        <v>89</v>
      </c>
      <c r="C130" s="444"/>
      <c r="D130" s="444"/>
      <c r="E130" s="444"/>
      <c r="F130" s="444"/>
      <c r="G130" s="445"/>
      <c r="H130" s="90">
        <f>SUM(H122:H127)</f>
        <v>24.763961500000001</v>
      </c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2.75" customHeight="1" x14ac:dyDescent="0.3">
      <c r="A131" s="14"/>
      <c r="B131" s="447" t="s">
        <v>90</v>
      </c>
      <c r="C131" s="444"/>
      <c r="D131" s="444"/>
      <c r="E131" s="444"/>
      <c r="F131" s="444"/>
      <c r="G131" s="445"/>
      <c r="H131" s="89">
        <v>1.38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2.75" customHeight="1" x14ac:dyDescent="0.3">
      <c r="A132" s="14"/>
      <c r="B132" s="447" t="s">
        <v>91</v>
      </c>
      <c r="C132" s="444"/>
      <c r="D132" s="444"/>
      <c r="E132" s="444"/>
      <c r="F132" s="444"/>
      <c r="G132" s="445"/>
      <c r="H132" s="89">
        <v>2.96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2.75" customHeight="1" x14ac:dyDescent="0.3">
      <c r="A133" s="14"/>
      <c r="B133" s="447" t="s">
        <v>92</v>
      </c>
      <c r="C133" s="444"/>
      <c r="D133" s="444"/>
      <c r="E133" s="444"/>
      <c r="F133" s="444"/>
      <c r="G133" s="445"/>
      <c r="H133" s="89">
        <v>0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2.75" customHeight="1" x14ac:dyDescent="0.3">
      <c r="A134" s="14"/>
      <c r="B134" s="447" t="s">
        <v>93</v>
      </c>
      <c r="C134" s="444"/>
      <c r="D134" s="444"/>
      <c r="E134" s="444"/>
      <c r="F134" s="444"/>
      <c r="G134" s="445"/>
      <c r="H134" s="89">
        <v>4.34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2.75" customHeight="1" x14ac:dyDescent="0.3">
      <c r="A135" s="14"/>
      <c r="B135" s="447" t="s">
        <v>94</v>
      </c>
      <c r="C135" s="444"/>
      <c r="D135" s="444"/>
      <c r="E135" s="444"/>
      <c r="F135" s="444"/>
      <c r="G135" s="445"/>
      <c r="H135" s="90">
        <f>ROUNDDOWN(H130+H134,2)</f>
        <v>29.1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2.75" customHeight="1" x14ac:dyDescent="0.3">
      <c r="A136" s="14"/>
      <c r="B136" s="447" t="s">
        <v>95</v>
      </c>
      <c r="C136" s="444"/>
      <c r="D136" s="444"/>
      <c r="E136" s="444"/>
      <c r="F136" s="444"/>
      <c r="G136" s="445"/>
      <c r="H136" s="89">
        <v>712.35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2.75" customHeight="1" x14ac:dyDescent="0.3">
      <c r="A137" s="14"/>
      <c r="B137" s="447" t="s">
        <v>96</v>
      </c>
      <c r="C137" s="444"/>
      <c r="D137" s="444"/>
      <c r="E137" s="444"/>
      <c r="F137" s="444"/>
      <c r="G137" s="445"/>
      <c r="H137" s="90">
        <f>ROUNDDOWN(H135*H136,2)</f>
        <v>20729.38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2.75" customHeight="1" x14ac:dyDescent="0.3">
      <c r="A138" s="14"/>
      <c r="B138" s="446"/>
      <c r="C138" s="444"/>
      <c r="D138" s="444"/>
      <c r="E138" s="444"/>
      <c r="F138" s="444"/>
      <c r="G138" s="444"/>
      <c r="H138" s="44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2.75" customHeight="1" x14ac:dyDescent="0.3">
      <c r="A139" s="14"/>
      <c r="B139" s="446"/>
      <c r="C139" s="444"/>
      <c r="D139" s="444"/>
      <c r="E139" s="444"/>
      <c r="F139" s="444"/>
      <c r="G139" s="444"/>
      <c r="H139" s="44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2.75" customHeight="1" x14ac:dyDescent="0.3">
      <c r="A140" s="14"/>
      <c r="B140" s="78" t="s">
        <v>123</v>
      </c>
      <c r="C140" s="78" t="s">
        <v>167</v>
      </c>
      <c r="D140" s="79" t="s">
        <v>69</v>
      </c>
      <c r="E140" s="79" t="s">
        <v>73</v>
      </c>
      <c r="F140" s="80"/>
      <c r="G140" s="81"/>
      <c r="H140" s="81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2.75" customHeight="1" x14ac:dyDescent="0.3">
      <c r="A141" s="14"/>
      <c r="B141" s="82"/>
      <c r="C141" s="83" t="s">
        <v>168</v>
      </c>
      <c r="D141" s="84" t="s">
        <v>13</v>
      </c>
      <c r="E141" s="84" t="s">
        <v>121</v>
      </c>
      <c r="F141" s="85">
        <f>(0.6*0.6*0.5)*0.7</f>
        <v>0.126</v>
      </c>
      <c r="G141" s="86">
        <v>57.87</v>
      </c>
      <c r="H141" s="86">
        <f>F141*G141</f>
        <v>7.29162</v>
      </c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2.75" customHeight="1" x14ac:dyDescent="0.3">
      <c r="A142" s="14"/>
      <c r="B142" s="82"/>
      <c r="C142" s="83" t="s">
        <v>169</v>
      </c>
      <c r="D142" s="84" t="s">
        <v>72</v>
      </c>
      <c r="E142" s="84" t="s">
        <v>121</v>
      </c>
      <c r="F142" s="85">
        <f>((0.4*0.4*0.5)-(0.1*0.1*0.5))*0.7</f>
        <v>5.2500000000000005E-2</v>
      </c>
      <c r="G142" s="86">
        <v>206.39</v>
      </c>
      <c r="H142" s="86">
        <f>F142*G142</f>
        <v>10.835475000000001</v>
      </c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2.75" customHeight="1" x14ac:dyDescent="0.3">
      <c r="A143" s="14"/>
      <c r="B143" s="447" t="s">
        <v>87</v>
      </c>
      <c r="C143" s="444"/>
      <c r="D143" s="444"/>
      <c r="E143" s="444"/>
      <c r="F143" s="444"/>
      <c r="G143" s="445"/>
      <c r="H143" s="89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2.75" customHeight="1" x14ac:dyDescent="0.3">
      <c r="A144" s="14"/>
      <c r="B144" s="447" t="s">
        <v>88</v>
      </c>
      <c r="C144" s="444"/>
      <c r="D144" s="444"/>
      <c r="E144" s="444"/>
      <c r="F144" s="444"/>
      <c r="G144" s="445"/>
      <c r="H144" s="89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2.75" customHeight="1" x14ac:dyDescent="0.3">
      <c r="A145" s="14"/>
      <c r="B145" s="447" t="s">
        <v>89</v>
      </c>
      <c r="C145" s="444"/>
      <c r="D145" s="444"/>
      <c r="E145" s="444"/>
      <c r="F145" s="444"/>
      <c r="G145" s="445"/>
      <c r="H145" s="90">
        <f>SUM(H141:H142)</f>
        <v>18.127095000000001</v>
      </c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2.75" customHeight="1" x14ac:dyDescent="0.3">
      <c r="A146" s="14"/>
      <c r="B146" s="447" t="s">
        <v>90</v>
      </c>
      <c r="C146" s="444"/>
      <c r="D146" s="444"/>
      <c r="E146" s="444"/>
      <c r="F146" s="444"/>
      <c r="G146" s="445"/>
      <c r="H146" s="89">
        <v>1.38</v>
      </c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2.75" customHeight="1" x14ac:dyDescent="0.3">
      <c r="A147" s="14"/>
      <c r="B147" s="447" t="s">
        <v>91</v>
      </c>
      <c r="C147" s="444"/>
      <c r="D147" s="444"/>
      <c r="E147" s="444"/>
      <c r="F147" s="444"/>
      <c r="G147" s="445"/>
      <c r="H147" s="89">
        <v>2.96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2.75" customHeight="1" x14ac:dyDescent="0.3">
      <c r="A148" s="14"/>
      <c r="B148" s="447" t="s">
        <v>92</v>
      </c>
      <c r="C148" s="444"/>
      <c r="D148" s="444"/>
      <c r="E148" s="444"/>
      <c r="F148" s="444"/>
      <c r="G148" s="445"/>
      <c r="H148" s="89">
        <v>0</v>
      </c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2.75" customHeight="1" x14ac:dyDescent="0.3">
      <c r="A149" s="14"/>
      <c r="B149" s="447" t="s">
        <v>93</v>
      </c>
      <c r="C149" s="444"/>
      <c r="D149" s="444"/>
      <c r="E149" s="444"/>
      <c r="F149" s="444"/>
      <c r="G149" s="445"/>
      <c r="H149" s="89">
        <v>4.34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2.75" customHeight="1" x14ac:dyDescent="0.3">
      <c r="A150" s="14"/>
      <c r="B150" s="447" t="s">
        <v>94</v>
      </c>
      <c r="C150" s="444"/>
      <c r="D150" s="444"/>
      <c r="E150" s="444"/>
      <c r="F150" s="444"/>
      <c r="G150" s="445"/>
      <c r="H150" s="90">
        <f>ROUNDDOWN(H145+H149,2)</f>
        <v>22.46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2.75" customHeight="1" x14ac:dyDescent="0.3">
      <c r="A151" s="14"/>
      <c r="B151" s="447" t="s">
        <v>95</v>
      </c>
      <c r="C151" s="444"/>
      <c r="D151" s="444"/>
      <c r="E151" s="444"/>
      <c r="F151" s="444"/>
      <c r="G151" s="445"/>
      <c r="H151" s="89">
        <v>712.35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2.75" customHeight="1" x14ac:dyDescent="0.3">
      <c r="A152" s="14"/>
      <c r="B152" s="447" t="s">
        <v>96</v>
      </c>
      <c r="C152" s="444"/>
      <c r="D152" s="444"/>
      <c r="E152" s="444"/>
      <c r="F152" s="444"/>
      <c r="G152" s="445"/>
      <c r="H152" s="90">
        <f>ROUNDDOWN(H150*H151,2)</f>
        <v>15999.38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2.75" customHeight="1" x14ac:dyDescent="0.3">
      <c r="A153" s="14"/>
      <c r="B153" s="446"/>
      <c r="C153" s="444"/>
      <c r="D153" s="444"/>
      <c r="E153" s="444"/>
      <c r="F153" s="444"/>
      <c r="G153" s="444"/>
      <c r="H153" s="44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2.75" customHeight="1" x14ac:dyDescent="0.3">
      <c r="A154" s="14"/>
      <c r="B154" s="446"/>
      <c r="C154" s="444"/>
      <c r="D154" s="444"/>
      <c r="E154" s="444"/>
      <c r="F154" s="444"/>
      <c r="G154" s="444"/>
      <c r="H154" s="44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2.75" customHeight="1" x14ac:dyDescent="0.3">
      <c r="A155" s="14"/>
      <c r="B155" s="78" t="s">
        <v>123</v>
      </c>
      <c r="C155" s="78" t="s">
        <v>170</v>
      </c>
      <c r="D155" s="79" t="s">
        <v>69</v>
      </c>
      <c r="E155" s="79" t="s">
        <v>73</v>
      </c>
      <c r="F155" s="80"/>
      <c r="G155" s="81"/>
      <c r="H155" s="81"/>
      <c r="I155" s="14"/>
      <c r="J155" s="14" t="s">
        <v>171</v>
      </c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2.75" customHeight="1" x14ac:dyDescent="0.3">
      <c r="A156" s="14"/>
      <c r="B156" s="82">
        <v>88316</v>
      </c>
      <c r="C156" s="83" t="s">
        <v>166</v>
      </c>
      <c r="D156" s="84" t="s">
        <v>13</v>
      </c>
      <c r="E156" s="84" t="s">
        <v>14</v>
      </c>
      <c r="F156" s="85">
        <f>0.0188*1.3*0.7</f>
        <v>1.7108000000000002E-2</v>
      </c>
      <c r="G156" s="86">
        <v>14.63</v>
      </c>
      <c r="H156" s="86">
        <f>F156*G156</f>
        <v>0.25029004000000005</v>
      </c>
      <c r="I156" s="14"/>
      <c r="J156" s="14"/>
      <c r="K156" s="14" t="s">
        <v>172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2.75" customHeight="1" x14ac:dyDescent="0.3">
      <c r="A157" s="14"/>
      <c r="B157" s="447" t="s">
        <v>87</v>
      </c>
      <c r="C157" s="444"/>
      <c r="D157" s="444"/>
      <c r="E157" s="444"/>
      <c r="F157" s="444"/>
      <c r="G157" s="445"/>
      <c r="H157" s="89"/>
      <c r="I157" s="14"/>
      <c r="J157" s="14"/>
      <c r="K157" s="14" t="s">
        <v>173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2.75" customHeight="1" x14ac:dyDescent="0.3">
      <c r="A158" s="14"/>
      <c r="B158" s="447" t="s">
        <v>88</v>
      </c>
      <c r="C158" s="444"/>
      <c r="D158" s="444"/>
      <c r="E158" s="444"/>
      <c r="F158" s="444"/>
      <c r="G158" s="445"/>
      <c r="H158" s="89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2.75" customHeight="1" x14ac:dyDescent="0.3">
      <c r="A159" s="14"/>
      <c r="B159" s="447" t="s">
        <v>89</v>
      </c>
      <c r="C159" s="444"/>
      <c r="D159" s="444"/>
      <c r="E159" s="444"/>
      <c r="F159" s="444"/>
      <c r="G159" s="445"/>
      <c r="H159" s="90">
        <f>SUM(H156)</f>
        <v>0.25029004000000005</v>
      </c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2.75" customHeight="1" x14ac:dyDescent="0.3">
      <c r="A160" s="14"/>
      <c r="B160" s="447" t="s">
        <v>90</v>
      </c>
      <c r="C160" s="444"/>
      <c r="D160" s="444"/>
      <c r="E160" s="444"/>
      <c r="F160" s="444"/>
      <c r="G160" s="445"/>
      <c r="H160" s="89">
        <v>1.38</v>
      </c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2.75" customHeight="1" x14ac:dyDescent="0.3">
      <c r="A161" s="14"/>
      <c r="B161" s="447" t="s">
        <v>91</v>
      </c>
      <c r="C161" s="444"/>
      <c r="D161" s="444"/>
      <c r="E161" s="444"/>
      <c r="F161" s="444"/>
      <c r="G161" s="445"/>
      <c r="H161" s="89">
        <v>2.96</v>
      </c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2.75" customHeight="1" x14ac:dyDescent="0.3">
      <c r="A162" s="14"/>
      <c r="B162" s="447" t="s">
        <v>92</v>
      </c>
      <c r="C162" s="444"/>
      <c r="D162" s="444"/>
      <c r="E162" s="444"/>
      <c r="F162" s="444"/>
      <c r="G162" s="445"/>
      <c r="H162" s="89">
        <v>0</v>
      </c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2.75" customHeight="1" x14ac:dyDescent="0.3">
      <c r="A163" s="14"/>
      <c r="B163" s="447" t="s">
        <v>93</v>
      </c>
      <c r="C163" s="444"/>
      <c r="D163" s="444"/>
      <c r="E163" s="444"/>
      <c r="F163" s="444"/>
      <c r="G163" s="445"/>
      <c r="H163" s="89">
        <v>4.34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2.75" customHeight="1" x14ac:dyDescent="0.3">
      <c r="A164" s="14"/>
      <c r="B164" s="447" t="s">
        <v>94</v>
      </c>
      <c r="C164" s="444"/>
      <c r="D164" s="444"/>
      <c r="E164" s="444"/>
      <c r="F164" s="444"/>
      <c r="G164" s="445"/>
      <c r="H164" s="90">
        <f>ROUNDDOWN(H159+H163,2)</f>
        <v>4.59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2.75" customHeight="1" x14ac:dyDescent="0.3">
      <c r="A165" s="14"/>
      <c r="B165" s="447" t="s">
        <v>95</v>
      </c>
      <c r="C165" s="444"/>
      <c r="D165" s="444"/>
      <c r="E165" s="444"/>
      <c r="F165" s="444"/>
      <c r="G165" s="445"/>
      <c r="H165" s="89">
        <v>712.35</v>
      </c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2.75" customHeight="1" x14ac:dyDescent="0.3">
      <c r="A166" s="14"/>
      <c r="B166" s="447" t="s">
        <v>96</v>
      </c>
      <c r="C166" s="444"/>
      <c r="D166" s="444"/>
      <c r="E166" s="444"/>
      <c r="F166" s="444"/>
      <c r="G166" s="445"/>
      <c r="H166" s="90">
        <f>ROUNDDOWN(H164*H165,2)</f>
        <v>3269.68</v>
      </c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2.75" customHeight="1" x14ac:dyDescent="0.3">
      <c r="A167" s="14"/>
      <c r="B167" s="446"/>
      <c r="C167" s="444"/>
      <c r="D167" s="444"/>
      <c r="E167" s="444"/>
      <c r="F167" s="444"/>
      <c r="G167" s="444"/>
      <c r="H167" s="44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2.75" customHeight="1" x14ac:dyDescent="0.3">
      <c r="A168" s="14"/>
      <c r="B168" s="446"/>
      <c r="C168" s="444"/>
      <c r="D168" s="444"/>
      <c r="E168" s="444"/>
      <c r="F168" s="444"/>
      <c r="G168" s="444"/>
      <c r="H168" s="44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2.75" customHeight="1" x14ac:dyDescent="0.3">
      <c r="A169" s="14"/>
      <c r="B169" s="78" t="s">
        <v>123</v>
      </c>
      <c r="C169" s="78" t="s">
        <v>174</v>
      </c>
      <c r="D169" s="79" t="s">
        <v>69</v>
      </c>
      <c r="E169" s="79" t="s">
        <v>73</v>
      </c>
      <c r="F169" s="80"/>
      <c r="G169" s="81"/>
      <c r="H169" s="81"/>
      <c r="I169" s="14"/>
      <c r="J169" s="14" t="s">
        <v>175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2.75" customHeight="1" x14ac:dyDescent="0.3">
      <c r="A170" s="14"/>
      <c r="B170" s="82">
        <v>34348</v>
      </c>
      <c r="C170" s="83" t="s">
        <v>176</v>
      </c>
      <c r="D170" s="84"/>
      <c r="E170" s="84" t="s">
        <v>73</v>
      </c>
      <c r="F170" s="85">
        <v>1</v>
      </c>
      <c r="G170" s="86">
        <v>33.78</v>
      </c>
      <c r="H170" s="86">
        <f>F170*G170</f>
        <v>33.78</v>
      </c>
      <c r="I170" s="14"/>
      <c r="J170" s="14"/>
      <c r="K170" s="14"/>
      <c r="L170" s="14"/>
      <c r="M170" s="14"/>
      <c r="N170" s="14"/>
      <c r="O170" s="14">
        <v>1</v>
      </c>
      <c r="P170" s="14">
        <v>0.6</v>
      </c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2.75" customHeight="1" x14ac:dyDescent="0.3">
      <c r="A171" s="14"/>
      <c r="B171" s="82">
        <v>11270</v>
      </c>
      <c r="C171" s="83" t="s">
        <v>177</v>
      </c>
      <c r="D171" s="84"/>
      <c r="E171" s="84" t="s">
        <v>75</v>
      </c>
      <c r="F171" s="85">
        <v>1.6659999999999999</v>
      </c>
      <c r="G171" s="86">
        <v>1.68</v>
      </c>
      <c r="H171" s="86">
        <f>F171*G171</f>
        <v>2.7988799999999996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2.75" customHeight="1" x14ac:dyDescent="0.3">
      <c r="A172" s="14"/>
      <c r="B172" s="82">
        <v>7583</v>
      </c>
      <c r="C172" s="83" t="s">
        <v>178</v>
      </c>
      <c r="D172" s="84"/>
      <c r="E172" s="84" t="s">
        <v>75</v>
      </c>
      <c r="F172" s="85">
        <v>1.6659999999999999</v>
      </c>
      <c r="G172" s="86">
        <v>0.37</v>
      </c>
      <c r="H172" s="86">
        <f>F172*G172</f>
        <v>0.61641999999999997</v>
      </c>
      <c r="I172" s="14"/>
      <c r="J172" s="14"/>
      <c r="K172" s="14"/>
      <c r="L172" s="14"/>
      <c r="M172" s="14"/>
      <c r="N172" s="14"/>
      <c r="O172" s="14">
        <f>(O170*P172)/P170</f>
        <v>1.6666666666666667</v>
      </c>
      <c r="P172" s="14">
        <v>1</v>
      </c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2.75" customHeight="1" x14ac:dyDescent="0.3">
      <c r="A173" s="14"/>
      <c r="B173" s="82">
        <v>88310</v>
      </c>
      <c r="C173" s="83" t="s">
        <v>118</v>
      </c>
      <c r="D173" s="84" t="s">
        <v>13</v>
      </c>
      <c r="E173" s="84" t="s">
        <v>14</v>
      </c>
      <c r="F173" s="85">
        <v>0.1</v>
      </c>
      <c r="G173" s="86">
        <v>17.8</v>
      </c>
      <c r="H173" s="86">
        <f>F173*G173</f>
        <v>1.7800000000000002</v>
      </c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2.75" customHeight="1" x14ac:dyDescent="0.3">
      <c r="A174" s="14"/>
      <c r="B174" s="82">
        <v>88316</v>
      </c>
      <c r="C174" s="83" t="s">
        <v>166</v>
      </c>
      <c r="D174" s="84" t="s">
        <v>13</v>
      </c>
      <c r="E174" s="84" t="s">
        <v>14</v>
      </c>
      <c r="F174" s="85">
        <v>0.15</v>
      </c>
      <c r="G174" s="86">
        <v>14.63</v>
      </c>
      <c r="H174" s="86">
        <f>F174*G174</f>
        <v>2.1945000000000001</v>
      </c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2.75" customHeight="1" x14ac:dyDescent="0.3">
      <c r="A175" s="14"/>
      <c r="B175" s="447" t="s">
        <v>87</v>
      </c>
      <c r="C175" s="444"/>
      <c r="D175" s="444"/>
      <c r="E175" s="444"/>
      <c r="F175" s="444"/>
      <c r="G175" s="445"/>
      <c r="H175" s="89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2.75" customHeight="1" x14ac:dyDescent="0.3">
      <c r="A176" s="14"/>
      <c r="B176" s="447" t="s">
        <v>88</v>
      </c>
      <c r="C176" s="444"/>
      <c r="D176" s="444"/>
      <c r="E176" s="444"/>
      <c r="F176" s="444"/>
      <c r="G176" s="445"/>
      <c r="H176" s="89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2.75" customHeight="1" x14ac:dyDescent="0.3">
      <c r="A177" s="14"/>
      <c r="B177" s="447" t="s">
        <v>89</v>
      </c>
      <c r="C177" s="444"/>
      <c r="D177" s="444"/>
      <c r="E177" s="444"/>
      <c r="F177" s="444"/>
      <c r="G177" s="445"/>
      <c r="H177" s="90">
        <f>SUM(H170:H174)</f>
        <v>41.169799999999995</v>
      </c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2.75" customHeight="1" x14ac:dyDescent="0.3">
      <c r="A178" s="14"/>
      <c r="B178" s="447" t="s">
        <v>90</v>
      </c>
      <c r="C178" s="444"/>
      <c r="D178" s="444"/>
      <c r="E178" s="444"/>
      <c r="F178" s="444"/>
      <c r="G178" s="445"/>
      <c r="H178" s="89">
        <v>1.38</v>
      </c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2.75" customHeight="1" x14ac:dyDescent="0.3">
      <c r="A179" s="14"/>
      <c r="B179" s="447" t="s">
        <v>91</v>
      </c>
      <c r="C179" s="444"/>
      <c r="D179" s="444"/>
      <c r="E179" s="444"/>
      <c r="F179" s="444"/>
      <c r="G179" s="445"/>
      <c r="H179" s="89">
        <v>2.96</v>
      </c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2.75" customHeight="1" x14ac:dyDescent="0.3">
      <c r="A180" s="14"/>
      <c r="B180" s="447" t="s">
        <v>92</v>
      </c>
      <c r="C180" s="444"/>
      <c r="D180" s="444"/>
      <c r="E180" s="444"/>
      <c r="F180" s="444"/>
      <c r="G180" s="445"/>
      <c r="H180" s="89">
        <v>0</v>
      </c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2.75" customHeight="1" x14ac:dyDescent="0.3">
      <c r="A181" s="14"/>
      <c r="B181" s="447" t="s">
        <v>93</v>
      </c>
      <c r="C181" s="444"/>
      <c r="D181" s="444"/>
      <c r="E181" s="444"/>
      <c r="F181" s="444"/>
      <c r="G181" s="445"/>
      <c r="H181" s="89">
        <v>4.34</v>
      </c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2.75" customHeight="1" x14ac:dyDescent="0.3">
      <c r="A182" s="14"/>
      <c r="B182" s="447" t="s">
        <v>94</v>
      </c>
      <c r="C182" s="444"/>
      <c r="D182" s="444"/>
      <c r="E182" s="444"/>
      <c r="F182" s="444"/>
      <c r="G182" s="445"/>
      <c r="H182" s="90">
        <f>ROUNDDOWN(H177+H181,2)</f>
        <v>45.5</v>
      </c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2.75" customHeight="1" x14ac:dyDescent="0.3">
      <c r="A183" s="14"/>
      <c r="B183" s="447" t="s">
        <v>95</v>
      </c>
      <c r="C183" s="444"/>
      <c r="D183" s="444"/>
      <c r="E183" s="444"/>
      <c r="F183" s="444"/>
      <c r="G183" s="445"/>
      <c r="H183" s="89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2.75" customHeight="1" x14ac:dyDescent="0.3">
      <c r="A184" s="14"/>
      <c r="B184" s="447" t="s">
        <v>96</v>
      </c>
      <c r="C184" s="444"/>
      <c r="D184" s="444"/>
      <c r="E184" s="444"/>
      <c r="F184" s="444"/>
      <c r="G184" s="445"/>
      <c r="H184" s="90">
        <f>ROUNDDOWN(H182*H183,2)</f>
        <v>0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2.75" customHeight="1" x14ac:dyDescent="0.3">
      <c r="A185" s="14"/>
      <c r="B185" s="446"/>
      <c r="C185" s="444"/>
      <c r="D185" s="444"/>
      <c r="E185" s="444"/>
      <c r="F185" s="444"/>
      <c r="G185" s="444"/>
      <c r="H185" s="44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2.75" customHeight="1" x14ac:dyDescent="0.3">
      <c r="A186" s="14"/>
      <c r="B186" s="449" t="s">
        <v>179</v>
      </c>
      <c r="C186" s="450"/>
      <c r="D186" s="450"/>
      <c r="E186" s="450"/>
      <c r="F186" s="450"/>
      <c r="G186" s="451"/>
      <c r="H186" s="92" t="e">
        <f>#REF!+#REF!+#REF!+#REF!+#REF!+#REF!+#REF!+#REF!+#REF!+#REF!+#REF!+#REF!+#REF!+#REF!+#REF!+#REF!+#REF!+#REF!+#REF!+#REF!+#REF!+#REF!+#REF!+#REF!+#REF!+#REF!+#REF!+#REF!+#REF!+#REF!+$G$52+#REF!+#REF!+#REF!+#REF!+#REF!+$G$186</f>
        <v>#REF!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2.75" customHeight="1" x14ac:dyDescent="0.3">
      <c r="A187" s="14"/>
      <c r="B187" s="446"/>
      <c r="C187" s="444"/>
      <c r="D187" s="444"/>
      <c r="E187" s="444"/>
      <c r="F187" s="444"/>
      <c r="G187" s="444"/>
      <c r="H187" s="44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2.75" customHeight="1" x14ac:dyDescent="0.3">
      <c r="A188" s="14"/>
      <c r="B188" s="78" t="s">
        <v>123</v>
      </c>
      <c r="C188" s="78" t="s">
        <v>180</v>
      </c>
      <c r="D188" s="79" t="s">
        <v>69</v>
      </c>
      <c r="E188" s="79" t="s">
        <v>125</v>
      </c>
      <c r="F188" s="80"/>
      <c r="G188" s="81"/>
      <c r="H188" s="81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2.75" customHeight="1" x14ac:dyDescent="0.3">
      <c r="A189" s="14"/>
      <c r="B189" s="82" t="s">
        <v>181</v>
      </c>
      <c r="C189" s="83" t="s">
        <v>182</v>
      </c>
      <c r="D189" s="84" t="s">
        <v>13</v>
      </c>
      <c r="E189" s="84" t="s">
        <v>125</v>
      </c>
      <c r="F189" s="85">
        <v>1</v>
      </c>
      <c r="G189" s="86">
        <v>250</v>
      </c>
      <c r="H189" s="86">
        <f>F189*G189</f>
        <v>250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2.75" customHeight="1" x14ac:dyDescent="0.3">
      <c r="A190" s="14"/>
      <c r="B190" s="447" t="s">
        <v>87</v>
      </c>
      <c r="C190" s="444"/>
      <c r="D190" s="444"/>
      <c r="E190" s="444"/>
      <c r="F190" s="444"/>
      <c r="G190" s="445"/>
      <c r="H190" s="89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2.75" customHeight="1" x14ac:dyDescent="0.3">
      <c r="A191" s="14"/>
      <c r="B191" s="447" t="s">
        <v>88</v>
      </c>
      <c r="C191" s="444"/>
      <c r="D191" s="444"/>
      <c r="E191" s="444"/>
      <c r="F191" s="444"/>
      <c r="G191" s="445"/>
      <c r="H191" s="89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2.75" customHeight="1" x14ac:dyDescent="0.3">
      <c r="A192" s="14"/>
      <c r="B192" s="447" t="s">
        <v>89</v>
      </c>
      <c r="C192" s="444"/>
      <c r="D192" s="444"/>
      <c r="E192" s="444"/>
      <c r="F192" s="444"/>
      <c r="G192" s="445"/>
      <c r="H192" s="90">
        <f>SUM(H189)</f>
        <v>250</v>
      </c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2.75" customHeight="1" x14ac:dyDescent="0.3">
      <c r="A193" s="14"/>
      <c r="B193" s="447" t="s">
        <v>90</v>
      </c>
      <c r="C193" s="444"/>
      <c r="D193" s="444"/>
      <c r="E193" s="444"/>
      <c r="F193" s="444"/>
      <c r="G193" s="445"/>
      <c r="H193" s="89">
        <v>1.38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2.75" customHeight="1" x14ac:dyDescent="0.3">
      <c r="A194" s="14"/>
      <c r="B194" s="447" t="s">
        <v>91</v>
      </c>
      <c r="C194" s="444"/>
      <c r="D194" s="444"/>
      <c r="E194" s="444"/>
      <c r="F194" s="444"/>
      <c r="G194" s="445"/>
      <c r="H194" s="89">
        <v>2.96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2.75" customHeight="1" x14ac:dyDescent="0.3">
      <c r="A195" s="14"/>
      <c r="B195" s="447" t="s">
        <v>92</v>
      </c>
      <c r="C195" s="444"/>
      <c r="D195" s="444"/>
      <c r="E195" s="444"/>
      <c r="F195" s="444"/>
      <c r="G195" s="445"/>
      <c r="H195" s="89">
        <v>0</v>
      </c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2.75" customHeight="1" x14ac:dyDescent="0.3">
      <c r="A196" s="14"/>
      <c r="B196" s="447" t="s">
        <v>93</v>
      </c>
      <c r="C196" s="444"/>
      <c r="D196" s="444"/>
      <c r="E196" s="444"/>
      <c r="F196" s="444"/>
      <c r="G196" s="445"/>
      <c r="H196" s="89">
        <v>4.34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2.75" customHeight="1" x14ac:dyDescent="0.3">
      <c r="A197" s="14"/>
      <c r="B197" s="447" t="s">
        <v>94</v>
      </c>
      <c r="C197" s="444"/>
      <c r="D197" s="444"/>
      <c r="E197" s="444"/>
      <c r="F197" s="444"/>
      <c r="G197" s="445"/>
      <c r="H197" s="90">
        <f>ROUNDDOWN(H192+H196,2)</f>
        <v>254.34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2.75" customHeight="1" x14ac:dyDescent="0.3">
      <c r="A198" s="14"/>
      <c r="B198" s="447" t="s">
        <v>95</v>
      </c>
      <c r="C198" s="444"/>
      <c r="D198" s="444"/>
      <c r="E198" s="444"/>
      <c r="F198" s="444"/>
      <c r="G198" s="445"/>
      <c r="H198" s="89">
        <v>712.35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2.75" customHeight="1" x14ac:dyDescent="0.3">
      <c r="A199" s="14"/>
      <c r="B199" s="447" t="s">
        <v>96</v>
      </c>
      <c r="C199" s="444"/>
      <c r="D199" s="444"/>
      <c r="E199" s="444"/>
      <c r="F199" s="444"/>
      <c r="G199" s="445"/>
      <c r="H199" s="90">
        <f>ROUNDDOWN(H197*H198,2)</f>
        <v>181179.09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2.75" customHeight="1" x14ac:dyDescent="0.3">
      <c r="A200" s="14"/>
      <c r="B200" s="446"/>
      <c r="C200" s="444"/>
      <c r="D200" s="444"/>
      <c r="E200" s="444"/>
      <c r="F200" s="444"/>
      <c r="G200" s="444"/>
      <c r="H200" s="44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2.75" customHeight="1" x14ac:dyDescent="0.3">
      <c r="A201" s="93"/>
      <c r="B201" s="94"/>
      <c r="C201" s="95"/>
      <c r="D201" s="96"/>
      <c r="E201" s="96"/>
      <c r="F201" s="96"/>
      <c r="G201" s="97" t="s">
        <v>183</v>
      </c>
      <c r="H201" s="98" t="e">
        <f>#REF!</f>
        <v>#REF!</v>
      </c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 x14ac:dyDescent="0.3">
      <c r="A202" s="14"/>
      <c r="B202" s="14"/>
      <c r="C202" s="63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2.75" customHeight="1" x14ac:dyDescent="0.3">
      <c r="A203" s="14"/>
      <c r="B203" s="14"/>
      <c r="C203" s="63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2.75" customHeight="1" x14ac:dyDescent="0.3">
      <c r="A204" s="14"/>
      <c r="B204" s="14"/>
      <c r="C204" s="63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2.75" customHeight="1" x14ac:dyDescent="0.3">
      <c r="A205" s="14"/>
      <c r="B205" s="14"/>
      <c r="C205" s="63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2.75" customHeight="1" x14ac:dyDescent="0.3">
      <c r="A206" s="14"/>
      <c r="B206" s="14"/>
      <c r="C206" s="63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2.75" customHeight="1" x14ac:dyDescent="0.3">
      <c r="A207" s="14"/>
      <c r="B207" s="14"/>
      <c r="C207" s="63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2.75" customHeight="1" x14ac:dyDescent="0.3">
      <c r="A208" s="14"/>
      <c r="B208" s="14"/>
      <c r="C208" s="63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2.75" customHeight="1" x14ac:dyDescent="0.3">
      <c r="A209" s="14"/>
      <c r="B209" s="14"/>
      <c r="C209" s="63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2.75" customHeight="1" x14ac:dyDescent="0.3">
      <c r="A210" s="14"/>
      <c r="B210" s="14"/>
      <c r="C210" s="63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2.75" customHeight="1" x14ac:dyDescent="0.3">
      <c r="A211" s="14"/>
      <c r="B211" s="14"/>
      <c r="C211" s="63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2.75" customHeight="1" x14ac:dyDescent="0.3">
      <c r="A212" s="14"/>
      <c r="B212" s="14"/>
      <c r="C212" s="63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2.75" customHeight="1" x14ac:dyDescent="0.3">
      <c r="A213" s="14"/>
      <c r="B213" s="14"/>
      <c r="C213" s="63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2.75" customHeight="1" x14ac:dyDescent="0.3">
      <c r="A214" s="14"/>
      <c r="B214" s="14"/>
      <c r="C214" s="63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2.75" customHeight="1" x14ac:dyDescent="0.3">
      <c r="A215" s="14"/>
      <c r="B215" s="14"/>
      <c r="C215" s="63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2.75" customHeight="1" x14ac:dyDescent="0.3">
      <c r="A216" s="14"/>
      <c r="B216" s="14"/>
      <c r="C216" s="63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2.75" customHeight="1" x14ac:dyDescent="0.3">
      <c r="A217" s="14"/>
      <c r="B217" s="14"/>
      <c r="C217" s="63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2.75" customHeight="1" x14ac:dyDescent="0.3">
      <c r="A218" s="14"/>
      <c r="B218" s="14"/>
      <c r="C218" s="63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2.75" customHeight="1" x14ac:dyDescent="0.3">
      <c r="A219" s="14"/>
      <c r="B219" s="14"/>
      <c r="C219" s="63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2.75" customHeight="1" x14ac:dyDescent="0.3">
      <c r="A220" s="14"/>
      <c r="B220" s="14"/>
      <c r="C220" s="63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2.75" customHeight="1" x14ac:dyDescent="0.3">
      <c r="A221" s="14"/>
      <c r="B221" s="14"/>
      <c r="C221" s="63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2.75" customHeight="1" x14ac:dyDescent="0.3">
      <c r="A222" s="14"/>
      <c r="B222" s="14"/>
      <c r="C222" s="63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2.75" customHeight="1" x14ac:dyDescent="0.3">
      <c r="A223" s="14"/>
      <c r="B223" s="14"/>
      <c r="C223" s="63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2.75" customHeight="1" x14ac:dyDescent="0.3">
      <c r="A224" s="14"/>
      <c r="B224" s="14"/>
      <c r="C224" s="63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2.75" customHeight="1" x14ac:dyDescent="0.3">
      <c r="A225" s="14"/>
      <c r="B225" s="14"/>
      <c r="C225" s="63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2.75" customHeight="1" x14ac:dyDescent="0.3">
      <c r="A226" s="14"/>
      <c r="B226" s="14"/>
      <c r="C226" s="63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2.75" customHeight="1" x14ac:dyDescent="0.3">
      <c r="A227" s="14"/>
      <c r="B227" s="14"/>
      <c r="C227" s="63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2.75" customHeight="1" x14ac:dyDescent="0.3">
      <c r="A228" s="14"/>
      <c r="B228" s="14"/>
      <c r="C228" s="63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2.75" customHeight="1" x14ac:dyDescent="0.3">
      <c r="A229" s="14"/>
      <c r="B229" s="14"/>
      <c r="C229" s="63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2.75" customHeight="1" x14ac:dyDescent="0.3">
      <c r="A230" s="14"/>
      <c r="B230" s="14"/>
      <c r="C230" s="63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2.75" customHeight="1" x14ac:dyDescent="0.3">
      <c r="A231" s="14"/>
      <c r="B231" s="14"/>
      <c r="C231" s="63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2.75" customHeight="1" x14ac:dyDescent="0.3">
      <c r="A232" s="14"/>
      <c r="B232" s="14"/>
      <c r="C232" s="63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2.75" customHeight="1" x14ac:dyDescent="0.3">
      <c r="A233" s="14"/>
      <c r="B233" s="14"/>
      <c r="C233" s="63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2.75" customHeight="1" x14ac:dyDescent="0.3">
      <c r="A234" s="14"/>
      <c r="B234" s="14"/>
      <c r="C234" s="63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2.75" customHeight="1" x14ac:dyDescent="0.3">
      <c r="A235" s="14"/>
      <c r="B235" s="14"/>
      <c r="C235" s="63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2.75" customHeight="1" x14ac:dyDescent="0.3">
      <c r="A236" s="14"/>
      <c r="B236" s="14"/>
      <c r="C236" s="63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2.75" customHeight="1" x14ac:dyDescent="0.3">
      <c r="A237" s="14"/>
      <c r="B237" s="14"/>
      <c r="C237" s="63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2.75" customHeight="1" x14ac:dyDescent="0.3">
      <c r="A238" s="14"/>
      <c r="B238" s="14"/>
      <c r="C238" s="63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2.75" customHeight="1" x14ac:dyDescent="0.3">
      <c r="A239" s="14"/>
      <c r="B239" s="14"/>
      <c r="C239" s="63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2.75" customHeight="1" x14ac:dyDescent="0.3">
      <c r="A240" s="14"/>
      <c r="B240" s="14"/>
      <c r="C240" s="63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2.75" customHeight="1" x14ac:dyDescent="0.3">
      <c r="A241" s="14"/>
      <c r="B241" s="14"/>
      <c r="C241" s="63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2.75" customHeight="1" x14ac:dyDescent="0.3">
      <c r="A242" s="14"/>
      <c r="B242" s="14"/>
      <c r="C242" s="63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2.75" customHeight="1" x14ac:dyDescent="0.3">
      <c r="A243" s="14"/>
      <c r="B243" s="14"/>
      <c r="C243" s="63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2.75" customHeight="1" x14ac:dyDescent="0.3">
      <c r="A244" s="14"/>
      <c r="B244" s="14"/>
      <c r="C244" s="63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2.75" customHeight="1" x14ac:dyDescent="0.3">
      <c r="A245" s="14"/>
      <c r="B245" s="14"/>
      <c r="C245" s="63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2.75" customHeight="1" x14ac:dyDescent="0.3">
      <c r="A246" s="14"/>
      <c r="B246" s="14"/>
      <c r="C246" s="63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2.75" customHeight="1" x14ac:dyDescent="0.3">
      <c r="A247" s="14"/>
      <c r="B247" s="14"/>
      <c r="C247" s="63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2.75" customHeight="1" x14ac:dyDescent="0.3">
      <c r="A248" s="14"/>
      <c r="B248" s="14"/>
      <c r="C248" s="63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2.75" customHeight="1" x14ac:dyDescent="0.3">
      <c r="A249" s="14"/>
      <c r="B249" s="14"/>
      <c r="C249" s="63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2.75" customHeight="1" x14ac:dyDescent="0.3">
      <c r="A250" s="14"/>
      <c r="B250" s="14"/>
      <c r="C250" s="6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2.75" customHeight="1" x14ac:dyDescent="0.3">
      <c r="A251" s="14"/>
      <c r="B251" s="14"/>
      <c r="C251" s="63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2.75" customHeight="1" x14ac:dyDescent="0.3">
      <c r="A252" s="14"/>
      <c r="B252" s="14"/>
      <c r="C252" s="63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2.75" customHeight="1" x14ac:dyDescent="0.3">
      <c r="A253" s="14"/>
      <c r="B253" s="14"/>
      <c r="C253" s="63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2.75" customHeight="1" x14ac:dyDescent="0.3">
      <c r="A254" s="14"/>
      <c r="B254" s="14"/>
      <c r="C254" s="63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2.75" customHeight="1" x14ac:dyDescent="0.3">
      <c r="A255" s="14"/>
      <c r="B255" s="14"/>
      <c r="C255" s="63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2.75" customHeight="1" x14ac:dyDescent="0.3">
      <c r="A256" s="14"/>
      <c r="B256" s="14"/>
      <c r="C256" s="63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2.75" customHeight="1" x14ac:dyDescent="0.3">
      <c r="A257" s="14"/>
      <c r="B257" s="14"/>
      <c r="C257" s="63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2.75" customHeight="1" x14ac:dyDescent="0.3">
      <c r="A258" s="14"/>
      <c r="B258" s="14"/>
      <c r="C258" s="63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2.75" customHeight="1" x14ac:dyDescent="0.3">
      <c r="A259" s="14"/>
      <c r="B259" s="14"/>
      <c r="C259" s="63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2.75" customHeight="1" x14ac:dyDescent="0.3">
      <c r="A260" s="14"/>
      <c r="B260" s="14"/>
      <c r="C260" s="63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2.75" customHeight="1" x14ac:dyDescent="0.3">
      <c r="A261" s="14"/>
      <c r="B261" s="14"/>
      <c r="C261" s="63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2.75" customHeight="1" x14ac:dyDescent="0.3">
      <c r="A262" s="14"/>
      <c r="B262" s="14"/>
      <c r="C262" s="63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2.75" customHeight="1" x14ac:dyDescent="0.3">
      <c r="A263" s="14"/>
      <c r="B263" s="14"/>
      <c r="C263" s="63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2.75" customHeight="1" x14ac:dyDescent="0.3">
      <c r="A264" s="14"/>
      <c r="B264" s="14"/>
      <c r="C264" s="63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2.75" customHeight="1" x14ac:dyDescent="0.3">
      <c r="A265" s="14"/>
      <c r="B265" s="14"/>
      <c r="C265" s="63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2.75" customHeight="1" x14ac:dyDescent="0.3">
      <c r="A266" s="14"/>
      <c r="B266" s="14"/>
      <c r="C266" s="63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2.75" customHeight="1" x14ac:dyDescent="0.3">
      <c r="A267" s="14"/>
      <c r="B267" s="14"/>
      <c r="C267" s="63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2.75" customHeight="1" x14ac:dyDescent="0.3">
      <c r="A268" s="14"/>
      <c r="B268" s="14"/>
      <c r="C268" s="63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2.75" customHeight="1" x14ac:dyDescent="0.3">
      <c r="A269" s="14"/>
      <c r="B269" s="14"/>
      <c r="C269" s="63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2.75" customHeight="1" x14ac:dyDescent="0.3">
      <c r="A270" s="14"/>
      <c r="B270" s="14"/>
      <c r="C270" s="63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2.75" customHeight="1" x14ac:dyDescent="0.3">
      <c r="A271" s="14"/>
      <c r="B271" s="14"/>
      <c r="C271" s="63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2.75" customHeight="1" x14ac:dyDescent="0.3">
      <c r="A272" s="14"/>
      <c r="B272" s="14"/>
      <c r="C272" s="63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2.75" customHeight="1" x14ac:dyDescent="0.3">
      <c r="A273" s="14"/>
      <c r="B273" s="14"/>
      <c r="C273" s="63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2.75" customHeight="1" x14ac:dyDescent="0.3">
      <c r="A274" s="14"/>
      <c r="B274" s="14"/>
      <c r="C274" s="63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2.75" customHeight="1" x14ac:dyDescent="0.3">
      <c r="A275" s="14"/>
      <c r="B275" s="14"/>
      <c r="C275" s="63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2.75" customHeight="1" x14ac:dyDescent="0.3">
      <c r="A276" s="14"/>
      <c r="B276" s="14"/>
      <c r="C276" s="63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2.75" customHeight="1" x14ac:dyDescent="0.3">
      <c r="A277" s="14"/>
      <c r="B277" s="14"/>
      <c r="C277" s="63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2.75" customHeight="1" x14ac:dyDescent="0.3">
      <c r="A278" s="14"/>
      <c r="B278" s="14"/>
      <c r="C278" s="63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2.75" customHeight="1" x14ac:dyDescent="0.3">
      <c r="A279" s="14"/>
      <c r="B279" s="14"/>
      <c r="C279" s="63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2.75" customHeight="1" x14ac:dyDescent="0.3">
      <c r="A280" s="14"/>
      <c r="B280" s="14"/>
      <c r="C280" s="63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2.75" customHeight="1" x14ac:dyDescent="0.3">
      <c r="A281" s="14"/>
      <c r="B281" s="14"/>
      <c r="C281" s="63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2.75" customHeight="1" x14ac:dyDescent="0.3">
      <c r="A282" s="14"/>
      <c r="B282" s="14"/>
      <c r="C282" s="63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2.75" customHeight="1" x14ac:dyDescent="0.3">
      <c r="A283" s="14"/>
      <c r="B283" s="14"/>
      <c r="C283" s="63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2.75" customHeight="1" x14ac:dyDescent="0.3">
      <c r="A284" s="14"/>
      <c r="B284" s="14"/>
      <c r="C284" s="63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2.75" customHeight="1" x14ac:dyDescent="0.3">
      <c r="A285" s="14"/>
      <c r="B285" s="14"/>
      <c r="C285" s="63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2.75" customHeight="1" x14ac:dyDescent="0.3">
      <c r="A286" s="14"/>
      <c r="B286" s="14"/>
      <c r="C286" s="63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2.75" customHeight="1" x14ac:dyDescent="0.3">
      <c r="A287" s="14"/>
      <c r="B287" s="14"/>
      <c r="C287" s="63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2.75" customHeight="1" x14ac:dyDescent="0.3">
      <c r="A288" s="14"/>
      <c r="B288" s="14"/>
      <c r="C288" s="63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2.75" customHeight="1" x14ac:dyDescent="0.3">
      <c r="A289" s="14"/>
      <c r="B289" s="14"/>
      <c r="C289" s="63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2.75" customHeight="1" x14ac:dyDescent="0.3">
      <c r="A290" s="14"/>
      <c r="B290" s="14"/>
      <c r="C290" s="63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2.75" customHeight="1" x14ac:dyDescent="0.3">
      <c r="A291" s="14"/>
      <c r="B291" s="14"/>
      <c r="C291" s="63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2.75" customHeight="1" x14ac:dyDescent="0.3">
      <c r="A292" s="14"/>
      <c r="B292" s="14"/>
      <c r="C292" s="63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2.75" customHeight="1" x14ac:dyDescent="0.3">
      <c r="A293" s="14"/>
      <c r="B293" s="14"/>
      <c r="C293" s="63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2.75" customHeight="1" x14ac:dyDescent="0.3">
      <c r="A294" s="14"/>
      <c r="B294" s="14"/>
      <c r="C294" s="63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2.75" customHeight="1" x14ac:dyDescent="0.3">
      <c r="A295" s="14"/>
      <c r="B295" s="14"/>
      <c r="C295" s="63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2.75" customHeight="1" x14ac:dyDescent="0.3">
      <c r="A296" s="14"/>
      <c r="B296" s="14"/>
      <c r="C296" s="63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2.75" customHeight="1" x14ac:dyDescent="0.3">
      <c r="A297" s="14"/>
      <c r="B297" s="14"/>
      <c r="C297" s="63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2.75" customHeight="1" x14ac:dyDescent="0.3">
      <c r="A298" s="14"/>
      <c r="B298" s="14"/>
      <c r="C298" s="63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2.75" customHeight="1" x14ac:dyDescent="0.3">
      <c r="A299" s="14"/>
      <c r="B299" s="14"/>
      <c r="C299" s="63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2.75" customHeight="1" x14ac:dyDescent="0.3">
      <c r="A300" s="14"/>
      <c r="B300" s="14"/>
      <c r="C300" s="63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2.75" customHeight="1" x14ac:dyDescent="0.3">
      <c r="A301" s="14"/>
      <c r="B301" s="14"/>
      <c r="C301" s="63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2.75" customHeight="1" x14ac:dyDescent="0.3">
      <c r="A302" s="14"/>
      <c r="B302" s="14"/>
      <c r="C302" s="63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2.75" customHeight="1" x14ac:dyDescent="0.3">
      <c r="A303" s="14"/>
      <c r="B303" s="14"/>
      <c r="C303" s="63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2.75" customHeight="1" x14ac:dyDescent="0.3">
      <c r="A304" s="14"/>
      <c r="B304" s="14"/>
      <c r="C304" s="63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2.75" customHeight="1" x14ac:dyDescent="0.3">
      <c r="A305" s="14"/>
      <c r="B305" s="14"/>
      <c r="C305" s="63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2.75" customHeight="1" x14ac:dyDescent="0.3">
      <c r="A306" s="14"/>
      <c r="B306" s="14"/>
      <c r="C306" s="63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2.75" customHeight="1" x14ac:dyDescent="0.3">
      <c r="A307" s="14"/>
      <c r="B307" s="14"/>
      <c r="C307" s="63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2.75" customHeight="1" x14ac:dyDescent="0.3">
      <c r="A308" s="14"/>
      <c r="B308" s="14"/>
      <c r="C308" s="63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2.75" customHeight="1" x14ac:dyDescent="0.3">
      <c r="A309" s="14"/>
      <c r="B309" s="14"/>
      <c r="C309" s="63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2.75" customHeight="1" x14ac:dyDescent="0.3">
      <c r="A310" s="14"/>
      <c r="B310" s="14"/>
      <c r="C310" s="63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2.75" customHeight="1" x14ac:dyDescent="0.3">
      <c r="A311" s="14"/>
      <c r="B311" s="14"/>
      <c r="C311" s="63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2.75" customHeight="1" x14ac:dyDescent="0.3">
      <c r="A312" s="14"/>
      <c r="B312" s="14"/>
      <c r="C312" s="63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2.75" customHeight="1" x14ac:dyDescent="0.3">
      <c r="A313" s="14"/>
      <c r="B313" s="14"/>
      <c r="C313" s="63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2.75" customHeight="1" x14ac:dyDescent="0.3">
      <c r="A314" s="14"/>
      <c r="B314" s="14"/>
      <c r="C314" s="63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2.75" customHeight="1" x14ac:dyDescent="0.3">
      <c r="A315" s="14"/>
      <c r="B315" s="14"/>
      <c r="C315" s="63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2.75" customHeight="1" x14ac:dyDescent="0.3">
      <c r="A316" s="14"/>
      <c r="B316" s="14"/>
      <c r="C316" s="63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2.75" customHeight="1" x14ac:dyDescent="0.3">
      <c r="A317" s="14"/>
      <c r="B317" s="14"/>
      <c r="C317" s="63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2.75" customHeight="1" x14ac:dyDescent="0.3">
      <c r="A318" s="14"/>
      <c r="B318" s="14"/>
      <c r="C318" s="63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2.75" customHeight="1" x14ac:dyDescent="0.3">
      <c r="A319" s="14"/>
      <c r="B319" s="14"/>
      <c r="C319" s="63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2.75" customHeight="1" x14ac:dyDescent="0.3">
      <c r="A320" s="14"/>
      <c r="B320" s="14"/>
      <c r="C320" s="63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2.75" customHeight="1" x14ac:dyDescent="0.3">
      <c r="A321" s="14"/>
      <c r="B321" s="14"/>
      <c r="C321" s="63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2.75" customHeight="1" x14ac:dyDescent="0.3">
      <c r="A322" s="14"/>
      <c r="B322" s="14"/>
      <c r="C322" s="63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2.75" customHeight="1" x14ac:dyDescent="0.3">
      <c r="A323" s="14"/>
      <c r="B323" s="14"/>
      <c r="C323" s="63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2.75" customHeight="1" x14ac:dyDescent="0.3">
      <c r="A324" s="14"/>
      <c r="B324" s="14"/>
      <c r="C324" s="63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2.75" customHeight="1" x14ac:dyDescent="0.3">
      <c r="A325" s="14"/>
      <c r="B325" s="14"/>
      <c r="C325" s="63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2.75" customHeight="1" x14ac:dyDescent="0.3">
      <c r="A326" s="14"/>
      <c r="B326" s="14"/>
      <c r="C326" s="63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2.75" customHeight="1" x14ac:dyDescent="0.3">
      <c r="A327" s="14"/>
      <c r="B327" s="14"/>
      <c r="C327" s="63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2.75" customHeight="1" x14ac:dyDescent="0.3">
      <c r="A328" s="14"/>
      <c r="B328" s="14"/>
      <c r="C328" s="63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2.75" customHeight="1" x14ac:dyDescent="0.3">
      <c r="A329" s="14"/>
      <c r="B329" s="14"/>
      <c r="C329" s="63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2.75" customHeight="1" x14ac:dyDescent="0.3">
      <c r="A330" s="14"/>
      <c r="B330" s="14"/>
      <c r="C330" s="63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2.75" customHeight="1" x14ac:dyDescent="0.3">
      <c r="A331" s="14"/>
      <c r="B331" s="14"/>
      <c r="C331" s="63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2.75" customHeight="1" x14ac:dyDescent="0.3">
      <c r="A332" s="14"/>
      <c r="B332" s="14"/>
      <c r="C332" s="63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2.75" customHeight="1" x14ac:dyDescent="0.3">
      <c r="A333" s="14"/>
      <c r="B333" s="14"/>
      <c r="C333" s="63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2.75" customHeight="1" x14ac:dyDescent="0.3">
      <c r="A334" s="14"/>
      <c r="B334" s="14"/>
      <c r="C334" s="63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2.75" customHeight="1" x14ac:dyDescent="0.3">
      <c r="A335" s="14"/>
      <c r="B335" s="14"/>
      <c r="C335" s="63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2.75" customHeight="1" x14ac:dyDescent="0.3">
      <c r="A336" s="14"/>
      <c r="B336" s="14"/>
      <c r="C336" s="63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2.75" customHeight="1" x14ac:dyDescent="0.3">
      <c r="A337" s="14"/>
      <c r="B337" s="14"/>
      <c r="C337" s="63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2.75" customHeight="1" x14ac:dyDescent="0.3">
      <c r="A338" s="14"/>
      <c r="B338" s="14"/>
      <c r="C338" s="63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2.75" customHeight="1" x14ac:dyDescent="0.3">
      <c r="A339" s="14"/>
      <c r="B339" s="14"/>
      <c r="C339" s="63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2.75" customHeight="1" x14ac:dyDescent="0.3">
      <c r="A340" s="14"/>
      <c r="B340" s="14"/>
      <c r="C340" s="63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2.75" customHeight="1" x14ac:dyDescent="0.3">
      <c r="A341" s="14"/>
      <c r="B341" s="14"/>
      <c r="C341" s="63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2.75" customHeight="1" x14ac:dyDescent="0.3">
      <c r="A342" s="14"/>
      <c r="B342" s="14"/>
      <c r="C342" s="63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2.75" customHeight="1" x14ac:dyDescent="0.3">
      <c r="A343" s="14"/>
      <c r="B343" s="14"/>
      <c r="C343" s="63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2.75" customHeight="1" x14ac:dyDescent="0.3">
      <c r="A344" s="14"/>
      <c r="B344" s="14"/>
      <c r="C344" s="63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2.75" customHeight="1" x14ac:dyDescent="0.3">
      <c r="A345" s="14"/>
      <c r="B345" s="14"/>
      <c r="C345" s="63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2.75" customHeight="1" x14ac:dyDescent="0.3">
      <c r="A346" s="14"/>
      <c r="B346" s="14"/>
      <c r="C346" s="63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2.75" customHeight="1" x14ac:dyDescent="0.3">
      <c r="A347" s="14"/>
      <c r="B347" s="14"/>
      <c r="C347" s="63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2.75" customHeight="1" x14ac:dyDescent="0.3">
      <c r="A348" s="14"/>
      <c r="B348" s="14"/>
      <c r="C348" s="63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2.75" customHeight="1" x14ac:dyDescent="0.3">
      <c r="A349" s="14"/>
      <c r="B349" s="14"/>
      <c r="C349" s="63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2.75" customHeight="1" x14ac:dyDescent="0.3">
      <c r="A350" s="14"/>
      <c r="B350" s="14"/>
      <c r="C350" s="63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2.75" customHeight="1" x14ac:dyDescent="0.3">
      <c r="A351" s="14"/>
      <c r="B351" s="14"/>
      <c r="C351" s="63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2.75" customHeight="1" x14ac:dyDescent="0.3">
      <c r="A352" s="14"/>
      <c r="B352" s="14"/>
      <c r="C352" s="6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2.75" customHeight="1" x14ac:dyDescent="0.3">
      <c r="A353" s="14"/>
      <c r="B353" s="14"/>
      <c r="C353" s="63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2.75" customHeight="1" x14ac:dyDescent="0.3">
      <c r="A354" s="14"/>
      <c r="B354" s="14"/>
      <c r="C354" s="63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2.75" customHeight="1" x14ac:dyDescent="0.3">
      <c r="A355" s="14"/>
      <c r="B355" s="14"/>
      <c r="C355" s="63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2.75" customHeight="1" x14ac:dyDescent="0.3">
      <c r="A356" s="14"/>
      <c r="B356" s="14"/>
      <c r="C356" s="63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2.75" customHeight="1" x14ac:dyDescent="0.3">
      <c r="A357" s="14"/>
      <c r="B357" s="14"/>
      <c r="C357" s="63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2.75" customHeight="1" x14ac:dyDescent="0.3">
      <c r="A358" s="14"/>
      <c r="B358" s="14"/>
      <c r="C358" s="63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2.75" customHeight="1" x14ac:dyDescent="0.3">
      <c r="A359" s="14"/>
      <c r="B359" s="14"/>
      <c r="C359" s="63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2.75" customHeight="1" x14ac:dyDescent="0.3">
      <c r="A360" s="14"/>
      <c r="B360" s="14"/>
      <c r="C360" s="63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2.75" customHeight="1" x14ac:dyDescent="0.3">
      <c r="A361" s="14"/>
      <c r="B361" s="14"/>
      <c r="C361" s="63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2.75" customHeight="1" x14ac:dyDescent="0.3">
      <c r="A362" s="14"/>
      <c r="B362" s="14"/>
      <c r="C362" s="63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2.75" customHeight="1" x14ac:dyDescent="0.3">
      <c r="A363" s="14"/>
      <c r="B363" s="14"/>
      <c r="C363" s="63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2.75" customHeight="1" x14ac:dyDescent="0.3">
      <c r="A364" s="14"/>
      <c r="B364" s="14"/>
      <c r="C364" s="63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2.75" customHeight="1" x14ac:dyDescent="0.3">
      <c r="A365" s="14"/>
      <c r="B365" s="14"/>
      <c r="C365" s="63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2.75" customHeight="1" x14ac:dyDescent="0.3">
      <c r="A366" s="14"/>
      <c r="B366" s="14"/>
      <c r="C366" s="63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2.75" customHeight="1" x14ac:dyDescent="0.3">
      <c r="A367" s="14"/>
      <c r="B367" s="14"/>
      <c r="C367" s="63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2.75" customHeight="1" x14ac:dyDescent="0.3">
      <c r="A368" s="14"/>
      <c r="B368" s="14"/>
      <c r="C368" s="63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2.75" customHeight="1" x14ac:dyDescent="0.3">
      <c r="A369" s="14"/>
      <c r="B369" s="14"/>
      <c r="C369" s="63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2.75" customHeight="1" x14ac:dyDescent="0.3">
      <c r="A370" s="14"/>
      <c r="B370" s="14"/>
      <c r="C370" s="63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2.75" customHeight="1" x14ac:dyDescent="0.3">
      <c r="A371" s="14"/>
      <c r="B371" s="14"/>
      <c r="C371" s="63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2.75" customHeight="1" x14ac:dyDescent="0.3">
      <c r="A372" s="14"/>
      <c r="B372" s="14"/>
      <c r="C372" s="63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2.75" customHeight="1" x14ac:dyDescent="0.3">
      <c r="A373" s="14"/>
      <c r="B373" s="14"/>
      <c r="C373" s="63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2.75" customHeight="1" x14ac:dyDescent="0.3">
      <c r="A374" s="14"/>
      <c r="B374" s="14"/>
      <c r="C374" s="63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2.75" customHeight="1" x14ac:dyDescent="0.3">
      <c r="A375" s="14"/>
      <c r="B375" s="14"/>
      <c r="C375" s="63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2.75" customHeight="1" x14ac:dyDescent="0.3">
      <c r="A376" s="14"/>
      <c r="B376" s="14"/>
      <c r="C376" s="63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2.75" customHeight="1" x14ac:dyDescent="0.3">
      <c r="A377" s="14"/>
      <c r="B377" s="14"/>
      <c r="C377" s="63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2.75" customHeight="1" x14ac:dyDescent="0.3">
      <c r="A378" s="14"/>
      <c r="B378" s="14"/>
      <c r="C378" s="63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2.75" customHeight="1" x14ac:dyDescent="0.3">
      <c r="A379" s="14"/>
      <c r="B379" s="14"/>
      <c r="C379" s="63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2.75" customHeight="1" x14ac:dyDescent="0.3">
      <c r="A380" s="14"/>
      <c r="B380" s="14"/>
      <c r="C380" s="63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2.75" customHeight="1" x14ac:dyDescent="0.3">
      <c r="A381" s="14"/>
      <c r="B381" s="14"/>
      <c r="C381" s="63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2.75" customHeight="1" x14ac:dyDescent="0.3">
      <c r="A382" s="14"/>
      <c r="B382" s="14"/>
      <c r="C382" s="63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2.75" customHeight="1" x14ac:dyDescent="0.3">
      <c r="A383" s="14"/>
      <c r="B383" s="14"/>
      <c r="C383" s="63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2.75" customHeight="1" x14ac:dyDescent="0.3">
      <c r="A384" s="14"/>
      <c r="B384" s="14"/>
      <c r="C384" s="63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2.75" customHeight="1" x14ac:dyDescent="0.3">
      <c r="A385" s="14"/>
      <c r="B385" s="14"/>
      <c r="C385" s="63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2.75" customHeight="1" x14ac:dyDescent="0.3">
      <c r="A386" s="14"/>
      <c r="B386" s="14"/>
      <c r="C386" s="63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2.75" customHeight="1" x14ac:dyDescent="0.3">
      <c r="A387" s="14"/>
      <c r="B387" s="14"/>
      <c r="C387" s="63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2.75" customHeight="1" x14ac:dyDescent="0.3">
      <c r="A388" s="14"/>
      <c r="B388" s="14"/>
      <c r="C388" s="63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2.75" customHeight="1" x14ac:dyDescent="0.3">
      <c r="A389" s="14"/>
      <c r="B389" s="14"/>
      <c r="C389" s="63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2.75" customHeight="1" x14ac:dyDescent="0.3">
      <c r="A390" s="14"/>
      <c r="B390" s="14"/>
      <c r="C390" s="63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2.75" customHeight="1" x14ac:dyDescent="0.3">
      <c r="A391" s="14"/>
      <c r="B391" s="14"/>
      <c r="C391" s="63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2.75" customHeight="1" x14ac:dyDescent="0.3">
      <c r="A392" s="14"/>
      <c r="B392" s="14"/>
      <c r="C392" s="63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2.75" customHeight="1" x14ac:dyDescent="0.3">
      <c r="A393" s="14"/>
      <c r="B393" s="14"/>
      <c r="C393" s="63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2.75" customHeight="1" x14ac:dyDescent="0.3">
      <c r="A394" s="14"/>
      <c r="B394" s="14"/>
      <c r="C394" s="63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2.75" customHeight="1" x14ac:dyDescent="0.3">
      <c r="A395" s="14"/>
      <c r="B395" s="14"/>
      <c r="C395" s="63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2.75" customHeight="1" x14ac:dyDescent="0.3">
      <c r="A396" s="14"/>
      <c r="B396" s="14"/>
      <c r="C396" s="63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2.75" customHeight="1" x14ac:dyDescent="0.3">
      <c r="A397" s="14"/>
      <c r="B397" s="14"/>
      <c r="C397" s="63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2.75" customHeight="1" x14ac:dyDescent="0.3">
      <c r="A398" s="14"/>
      <c r="B398" s="14"/>
      <c r="C398" s="63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2.75" customHeight="1" x14ac:dyDescent="0.3">
      <c r="A399" s="14"/>
      <c r="B399" s="14"/>
      <c r="C399" s="63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2.75" customHeight="1" x14ac:dyDescent="0.3">
      <c r="A400" s="14"/>
      <c r="B400" s="14"/>
      <c r="C400" s="63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2.75" customHeight="1" x14ac:dyDescent="0.3">
      <c r="A401" s="14"/>
      <c r="B401" s="14"/>
      <c r="C401" s="63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2.75" customHeight="1" x14ac:dyDescent="0.3">
      <c r="A402" s="14"/>
      <c r="B402" s="14"/>
      <c r="C402" s="63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2.75" customHeight="1" x14ac:dyDescent="0.3">
      <c r="A403" s="14"/>
      <c r="B403" s="14"/>
      <c r="C403" s="63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2.75" customHeight="1" x14ac:dyDescent="0.3">
      <c r="A404" s="14"/>
      <c r="B404" s="14"/>
      <c r="C404" s="63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2.75" customHeight="1" x14ac:dyDescent="0.3">
      <c r="A405" s="14"/>
      <c r="B405" s="14"/>
      <c r="C405" s="63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2.75" customHeight="1" x14ac:dyDescent="0.3">
      <c r="A406" s="14"/>
      <c r="B406" s="14"/>
      <c r="C406" s="63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2.75" customHeight="1" x14ac:dyDescent="0.3">
      <c r="A407" s="14"/>
      <c r="B407" s="14"/>
      <c r="C407" s="63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2.75" customHeight="1" x14ac:dyDescent="0.3">
      <c r="A408" s="14"/>
      <c r="B408" s="14"/>
      <c r="C408" s="63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2.75" customHeight="1" x14ac:dyDescent="0.3">
      <c r="A409" s="14"/>
      <c r="B409" s="14"/>
      <c r="C409" s="63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2.75" customHeight="1" x14ac:dyDescent="0.3">
      <c r="A410" s="14"/>
      <c r="B410" s="14"/>
      <c r="C410" s="63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2.75" customHeight="1" x14ac:dyDescent="0.3">
      <c r="A411" s="14"/>
      <c r="B411" s="14"/>
      <c r="C411" s="63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2.75" customHeight="1" x14ac:dyDescent="0.3">
      <c r="A412" s="14"/>
      <c r="B412" s="14"/>
      <c r="C412" s="63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2.75" customHeight="1" x14ac:dyDescent="0.3">
      <c r="A413" s="14"/>
      <c r="B413" s="14"/>
      <c r="C413" s="63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2.75" customHeight="1" x14ac:dyDescent="0.3">
      <c r="A414" s="14"/>
      <c r="B414" s="14"/>
      <c r="C414" s="63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2.75" customHeight="1" x14ac:dyDescent="0.3">
      <c r="A415" s="14"/>
      <c r="B415" s="14"/>
      <c r="C415" s="63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2.75" customHeight="1" x14ac:dyDescent="0.3">
      <c r="A416" s="14"/>
      <c r="B416" s="14"/>
      <c r="C416" s="63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2.75" customHeight="1" x14ac:dyDescent="0.3">
      <c r="A417" s="14"/>
      <c r="B417" s="14"/>
      <c r="C417" s="63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2.75" customHeight="1" x14ac:dyDescent="0.3">
      <c r="A418" s="14"/>
      <c r="B418" s="14"/>
      <c r="C418" s="63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2.75" customHeight="1" x14ac:dyDescent="0.3">
      <c r="A419" s="14"/>
      <c r="B419" s="14"/>
      <c r="C419" s="63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2.75" customHeight="1" x14ac:dyDescent="0.3">
      <c r="A420" s="14"/>
      <c r="B420" s="14"/>
      <c r="C420" s="63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2.75" customHeight="1" x14ac:dyDescent="0.3">
      <c r="A421" s="14"/>
      <c r="B421" s="14"/>
      <c r="C421" s="63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2.75" customHeight="1" x14ac:dyDescent="0.3">
      <c r="A422" s="14"/>
      <c r="B422" s="14"/>
      <c r="C422" s="63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2.75" customHeight="1" x14ac:dyDescent="0.3">
      <c r="A423" s="14"/>
      <c r="B423" s="14"/>
      <c r="C423" s="63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2.75" customHeight="1" x14ac:dyDescent="0.3">
      <c r="A424" s="14"/>
      <c r="B424" s="14"/>
      <c r="C424" s="63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2.75" customHeight="1" x14ac:dyDescent="0.3">
      <c r="A425" s="14"/>
      <c r="B425" s="14"/>
      <c r="C425" s="63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2.75" customHeight="1" x14ac:dyDescent="0.3">
      <c r="A426" s="14"/>
      <c r="B426" s="14"/>
      <c r="C426" s="63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2.75" customHeight="1" x14ac:dyDescent="0.3">
      <c r="A427" s="14"/>
      <c r="B427" s="14"/>
      <c r="C427" s="63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2.75" customHeight="1" x14ac:dyDescent="0.3">
      <c r="A428" s="14"/>
      <c r="B428" s="14"/>
      <c r="C428" s="63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2.75" customHeight="1" x14ac:dyDescent="0.3">
      <c r="A429" s="14"/>
      <c r="B429" s="14"/>
      <c r="C429" s="63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2.75" customHeight="1" x14ac:dyDescent="0.3">
      <c r="A430" s="14"/>
      <c r="B430" s="14"/>
      <c r="C430" s="63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2.75" customHeight="1" x14ac:dyDescent="0.3">
      <c r="A431" s="14"/>
      <c r="B431" s="14"/>
      <c r="C431" s="63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2.75" customHeight="1" x14ac:dyDescent="0.3">
      <c r="A432" s="14"/>
      <c r="B432" s="14"/>
      <c r="C432" s="63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2.75" customHeight="1" x14ac:dyDescent="0.3">
      <c r="A433" s="14"/>
      <c r="B433" s="14"/>
      <c r="C433" s="63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2.75" customHeight="1" x14ac:dyDescent="0.3">
      <c r="A434" s="14"/>
      <c r="B434" s="14"/>
      <c r="C434" s="63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2.75" customHeight="1" x14ac:dyDescent="0.3">
      <c r="A435" s="14"/>
      <c r="B435" s="14"/>
      <c r="C435" s="63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2.75" customHeight="1" x14ac:dyDescent="0.3">
      <c r="A436" s="14"/>
      <c r="B436" s="14"/>
      <c r="C436" s="63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2.75" customHeight="1" x14ac:dyDescent="0.3">
      <c r="A437" s="14"/>
      <c r="B437" s="14"/>
      <c r="C437" s="63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2.75" customHeight="1" x14ac:dyDescent="0.3">
      <c r="A438" s="14"/>
      <c r="B438" s="14"/>
      <c r="C438" s="63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2.75" customHeight="1" x14ac:dyDescent="0.3">
      <c r="A439" s="14"/>
      <c r="B439" s="14"/>
      <c r="C439" s="63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2.75" customHeight="1" x14ac:dyDescent="0.3">
      <c r="A440" s="14"/>
      <c r="B440" s="14"/>
      <c r="C440" s="63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2.75" customHeight="1" x14ac:dyDescent="0.3">
      <c r="A441" s="14"/>
      <c r="B441" s="14"/>
      <c r="C441" s="63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2.75" customHeight="1" x14ac:dyDescent="0.3">
      <c r="A442" s="14"/>
      <c r="B442" s="14"/>
      <c r="C442" s="63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2.75" customHeight="1" x14ac:dyDescent="0.3">
      <c r="A443" s="14"/>
      <c r="B443" s="14"/>
      <c r="C443" s="63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2.75" customHeight="1" x14ac:dyDescent="0.3">
      <c r="A444" s="14"/>
      <c r="B444" s="14"/>
      <c r="C444" s="63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2.75" customHeight="1" x14ac:dyDescent="0.3">
      <c r="A445" s="14"/>
      <c r="B445" s="14"/>
      <c r="C445" s="63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2.75" customHeight="1" x14ac:dyDescent="0.3">
      <c r="A446" s="14"/>
      <c r="B446" s="14"/>
      <c r="C446" s="63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2.75" customHeight="1" x14ac:dyDescent="0.3">
      <c r="A447" s="14"/>
      <c r="B447" s="14"/>
      <c r="C447" s="63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2.75" customHeight="1" x14ac:dyDescent="0.3">
      <c r="A448" s="14"/>
      <c r="B448" s="14"/>
      <c r="C448" s="63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2.75" customHeight="1" x14ac:dyDescent="0.3">
      <c r="A449" s="14"/>
      <c r="B449" s="14"/>
      <c r="C449" s="63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2.75" customHeight="1" x14ac:dyDescent="0.3">
      <c r="A450" s="14"/>
      <c r="B450" s="14"/>
      <c r="C450" s="63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2.75" customHeight="1" x14ac:dyDescent="0.3">
      <c r="A451" s="14"/>
      <c r="B451" s="14"/>
      <c r="C451" s="63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2.75" customHeight="1" x14ac:dyDescent="0.3">
      <c r="A452" s="14"/>
      <c r="B452" s="14"/>
      <c r="C452" s="63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2.75" customHeight="1" x14ac:dyDescent="0.3">
      <c r="A453" s="14"/>
      <c r="B453" s="14"/>
      <c r="C453" s="63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2.75" customHeight="1" x14ac:dyDescent="0.3">
      <c r="A454" s="14"/>
      <c r="B454" s="14"/>
      <c r="C454" s="6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2.75" customHeight="1" x14ac:dyDescent="0.3">
      <c r="A455" s="14"/>
      <c r="B455" s="14"/>
      <c r="C455" s="63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2.75" customHeight="1" x14ac:dyDescent="0.3">
      <c r="A456" s="14"/>
      <c r="B456" s="14"/>
      <c r="C456" s="63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2.75" customHeight="1" x14ac:dyDescent="0.3">
      <c r="A457" s="14"/>
      <c r="B457" s="14"/>
      <c r="C457" s="63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2.75" customHeight="1" x14ac:dyDescent="0.3">
      <c r="A458" s="14"/>
      <c r="B458" s="14"/>
      <c r="C458" s="63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2.75" customHeight="1" x14ac:dyDescent="0.3">
      <c r="A459" s="14"/>
      <c r="B459" s="14"/>
      <c r="C459" s="63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2.75" customHeight="1" x14ac:dyDescent="0.3">
      <c r="A460" s="14"/>
      <c r="B460" s="14"/>
      <c r="C460" s="63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2.75" customHeight="1" x14ac:dyDescent="0.3">
      <c r="A461" s="14"/>
      <c r="B461" s="14"/>
      <c r="C461" s="63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2.75" customHeight="1" x14ac:dyDescent="0.3">
      <c r="A462" s="14"/>
      <c r="B462" s="14"/>
      <c r="C462" s="63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2.75" customHeight="1" x14ac:dyDescent="0.3">
      <c r="A463" s="14"/>
      <c r="B463" s="14"/>
      <c r="C463" s="63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2.75" customHeight="1" x14ac:dyDescent="0.3">
      <c r="A464" s="14"/>
      <c r="B464" s="14"/>
      <c r="C464" s="63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2.75" customHeight="1" x14ac:dyDescent="0.3">
      <c r="A465" s="14"/>
      <c r="B465" s="14"/>
      <c r="C465" s="63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2.75" customHeight="1" x14ac:dyDescent="0.3">
      <c r="A466" s="14"/>
      <c r="B466" s="14"/>
      <c r="C466" s="63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2.75" customHeight="1" x14ac:dyDescent="0.3">
      <c r="A467" s="14"/>
      <c r="B467" s="14"/>
      <c r="C467" s="63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2.75" customHeight="1" x14ac:dyDescent="0.3">
      <c r="A468" s="14"/>
      <c r="B468" s="14"/>
      <c r="C468" s="63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2.75" customHeight="1" x14ac:dyDescent="0.3">
      <c r="A469" s="14"/>
      <c r="B469" s="14"/>
      <c r="C469" s="63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2.75" customHeight="1" x14ac:dyDescent="0.3">
      <c r="A470" s="14"/>
      <c r="B470" s="14"/>
      <c r="C470" s="63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2.75" customHeight="1" x14ac:dyDescent="0.3">
      <c r="A471" s="14"/>
      <c r="B471" s="14"/>
      <c r="C471" s="63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2.75" customHeight="1" x14ac:dyDescent="0.3">
      <c r="A472" s="14"/>
      <c r="B472" s="14"/>
      <c r="C472" s="63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2.75" customHeight="1" x14ac:dyDescent="0.3">
      <c r="A473" s="14"/>
      <c r="B473" s="14"/>
      <c r="C473" s="63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2.75" customHeight="1" x14ac:dyDescent="0.3">
      <c r="A474" s="14"/>
      <c r="B474" s="14"/>
      <c r="C474" s="63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2.75" customHeight="1" x14ac:dyDescent="0.3">
      <c r="A475" s="14"/>
      <c r="B475" s="14"/>
      <c r="C475" s="63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2.75" customHeight="1" x14ac:dyDescent="0.3">
      <c r="A476" s="14"/>
      <c r="B476" s="14"/>
      <c r="C476" s="63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2.75" customHeight="1" x14ac:dyDescent="0.3">
      <c r="A477" s="14"/>
      <c r="B477" s="14"/>
      <c r="C477" s="63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2.75" customHeight="1" x14ac:dyDescent="0.3">
      <c r="A478" s="14"/>
      <c r="B478" s="14"/>
      <c r="C478" s="63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2.75" customHeight="1" x14ac:dyDescent="0.3">
      <c r="A479" s="14"/>
      <c r="B479" s="14"/>
      <c r="C479" s="63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2.75" customHeight="1" x14ac:dyDescent="0.3">
      <c r="A480" s="14"/>
      <c r="B480" s="14"/>
      <c r="C480" s="63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2.75" customHeight="1" x14ac:dyDescent="0.3">
      <c r="A481" s="14"/>
      <c r="B481" s="14"/>
      <c r="C481" s="63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2.75" customHeight="1" x14ac:dyDescent="0.3">
      <c r="A482" s="14"/>
      <c r="B482" s="14"/>
      <c r="C482" s="63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2.75" customHeight="1" x14ac:dyDescent="0.3">
      <c r="A483" s="14"/>
      <c r="B483" s="14"/>
      <c r="C483" s="63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2.75" customHeight="1" x14ac:dyDescent="0.3">
      <c r="A484" s="14"/>
      <c r="B484" s="14"/>
      <c r="C484" s="63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2.75" customHeight="1" x14ac:dyDescent="0.3">
      <c r="A485" s="14"/>
      <c r="B485" s="14"/>
      <c r="C485" s="63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2.75" customHeight="1" x14ac:dyDescent="0.3">
      <c r="A486" s="14"/>
      <c r="B486" s="14"/>
      <c r="C486" s="63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2.75" customHeight="1" x14ac:dyDescent="0.3">
      <c r="A487" s="14"/>
      <c r="B487" s="14"/>
      <c r="C487" s="63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2.75" customHeight="1" x14ac:dyDescent="0.3">
      <c r="A488" s="14"/>
      <c r="B488" s="14"/>
      <c r="C488" s="63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2.75" customHeight="1" x14ac:dyDescent="0.3">
      <c r="A489" s="14"/>
      <c r="B489" s="14"/>
      <c r="C489" s="63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2.75" customHeight="1" x14ac:dyDescent="0.3">
      <c r="A490" s="14"/>
      <c r="B490" s="14"/>
      <c r="C490" s="63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2.75" customHeight="1" x14ac:dyDescent="0.3">
      <c r="A491" s="14"/>
      <c r="B491" s="14"/>
      <c r="C491" s="63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2.75" customHeight="1" x14ac:dyDescent="0.3">
      <c r="A492" s="14"/>
      <c r="B492" s="14"/>
      <c r="C492" s="63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2.75" customHeight="1" x14ac:dyDescent="0.3">
      <c r="A493" s="14"/>
      <c r="B493" s="14"/>
      <c r="C493" s="63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2.75" customHeight="1" x14ac:dyDescent="0.3">
      <c r="A494" s="14"/>
      <c r="B494" s="14"/>
      <c r="C494" s="63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2.75" customHeight="1" x14ac:dyDescent="0.3">
      <c r="A495" s="14"/>
      <c r="B495" s="14"/>
      <c r="C495" s="63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2.75" customHeight="1" x14ac:dyDescent="0.3">
      <c r="A496" s="14"/>
      <c r="B496" s="14"/>
      <c r="C496" s="63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2.75" customHeight="1" x14ac:dyDescent="0.3">
      <c r="A497" s="14"/>
      <c r="B497" s="14"/>
      <c r="C497" s="63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2.75" customHeight="1" x14ac:dyDescent="0.3">
      <c r="A498" s="14"/>
      <c r="B498" s="14"/>
      <c r="C498" s="63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2.75" customHeight="1" x14ac:dyDescent="0.3">
      <c r="A499" s="14"/>
      <c r="B499" s="14"/>
      <c r="C499" s="63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2.75" customHeight="1" x14ac:dyDescent="0.3">
      <c r="A500" s="14"/>
      <c r="B500" s="14"/>
      <c r="C500" s="63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2.75" customHeight="1" x14ac:dyDescent="0.3">
      <c r="A501" s="14"/>
      <c r="B501" s="14"/>
      <c r="C501" s="63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2.75" customHeight="1" x14ac:dyDescent="0.3">
      <c r="A502" s="14"/>
      <c r="B502" s="14"/>
      <c r="C502" s="63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2.75" customHeight="1" x14ac:dyDescent="0.3">
      <c r="A503" s="14"/>
      <c r="B503" s="14"/>
      <c r="C503" s="63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2.75" customHeight="1" x14ac:dyDescent="0.3">
      <c r="A504" s="14"/>
      <c r="B504" s="14"/>
      <c r="C504" s="63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2.75" customHeight="1" x14ac:dyDescent="0.3">
      <c r="A505" s="14"/>
      <c r="B505" s="14"/>
      <c r="C505" s="63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2.75" customHeight="1" x14ac:dyDescent="0.3">
      <c r="A506" s="14"/>
      <c r="B506" s="14"/>
      <c r="C506" s="63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2.75" customHeight="1" x14ac:dyDescent="0.3">
      <c r="A507" s="14"/>
      <c r="B507" s="14"/>
      <c r="C507" s="63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2.75" customHeight="1" x14ac:dyDescent="0.3">
      <c r="A508" s="14"/>
      <c r="B508" s="14"/>
      <c r="C508" s="63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2.75" customHeight="1" x14ac:dyDescent="0.3">
      <c r="A509" s="14"/>
      <c r="B509" s="14"/>
      <c r="C509" s="63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2.75" customHeight="1" x14ac:dyDescent="0.3">
      <c r="A510" s="14"/>
      <c r="B510" s="14"/>
      <c r="C510" s="63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2.75" customHeight="1" x14ac:dyDescent="0.3">
      <c r="A511" s="14"/>
      <c r="B511" s="14"/>
      <c r="C511" s="63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2.75" customHeight="1" x14ac:dyDescent="0.3">
      <c r="A512" s="14"/>
      <c r="B512" s="14"/>
      <c r="C512" s="63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2.75" customHeight="1" x14ac:dyDescent="0.3">
      <c r="A513" s="14"/>
      <c r="B513" s="14"/>
      <c r="C513" s="63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2.75" customHeight="1" x14ac:dyDescent="0.3">
      <c r="A514" s="14"/>
      <c r="B514" s="14"/>
      <c r="C514" s="63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2.75" customHeight="1" x14ac:dyDescent="0.3">
      <c r="A515" s="14"/>
      <c r="B515" s="14"/>
      <c r="C515" s="63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2.75" customHeight="1" x14ac:dyDescent="0.3">
      <c r="A516" s="14"/>
      <c r="B516" s="14"/>
      <c r="C516" s="63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2.75" customHeight="1" x14ac:dyDescent="0.3">
      <c r="A517" s="14"/>
      <c r="B517" s="14"/>
      <c r="C517" s="63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2.75" customHeight="1" x14ac:dyDescent="0.3">
      <c r="A518" s="14"/>
      <c r="B518" s="14"/>
      <c r="C518" s="63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2.75" customHeight="1" x14ac:dyDescent="0.3">
      <c r="A519" s="14"/>
      <c r="B519" s="14"/>
      <c r="C519" s="63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2.75" customHeight="1" x14ac:dyDescent="0.3">
      <c r="A520" s="14"/>
      <c r="B520" s="14"/>
      <c r="C520" s="63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2.75" customHeight="1" x14ac:dyDescent="0.3">
      <c r="A521" s="14"/>
      <c r="B521" s="14"/>
      <c r="C521" s="63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2.75" customHeight="1" x14ac:dyDescent="0.3">
      <c r="A522" s="14"/>
      <c r="B522" s="14"/>
      <c r="C522" s="63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2.75" customHeight="1" x14ac:dyDescent="0.3">
      <c r="A523" s="14"/>
      <c r="B523" s="14"/>
      <c r="C523" s="63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2.75" customHeight="1" x14ac:dyDescent="0.3">
      <c r="A524" s="14"/>
      <c r="B524" s="14"/>
      <c r="C524" s="63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2.75" customHeight="1" x14ac:dyDescent="0.3">
      <c r="A525" s="14"/>
      <c r="B525" s="14"/>
      <c r="C525" s="63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2.75" customHeight="1" x14ac:dyDescent="0.3">
      <c r="A526" s="14"/>
      <c r="B526" s="14"/>
      <c r="C526" s="63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2.75" customHeight="1" x14ac:dyDescent="0.3">
      <c r="A527" s="14"/>
      <c r="B527" s="14"/>
      <c r="C527" s="63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2.75" customHeight="1" x14ac:dyDescent="0.3">
      <c r="A528" s="14"/>
      <c r="B528" s="14"/>
      <c r="C528" s="63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2.75" customHeight="1" x14ac:dyDescent="0.3">
      <c r="A529" s="14"/>
      <c r="B529" s="14"/>
      <c r="C529" s="63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2.75" customHeight="1" x14ac:dyDescent="0.3">
      <c r="A530" s="14"/>
      <c r="B530" s="14"/>
      <c r="C530" s="63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2.75" customHeight="1" x14ac:dyDescent="0.3">
      <c r="A531" s="14"/>
      <c r="B531" s="14"/>
      <c r="C531" s="63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2.75" customHeight="1" x14ac:dyDescent="0.3">
      <c r="A532" s="14"/>
      <c r="B532" s="14"/>
      <c r="C532" s="63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2.75" customHeight="1" x14ac:dyDescent="0.3">
      <c r="A533" s="14"/>
      <c r="B533" s="14"/>
      <c r="C533" s="63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2.75" customHeight="1" x14ac:dyDescent="0.3">
      <c r="A534" s="14"/>
      <c r="B534" s="14"/>
      <c r="C534" s="63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2.75" customHeight="1" x14ac:dyDescent="0.3">
      <c r="A535" s="14"/>
      <c r="B535" s="14"/>
      <c r="C535" s="63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2.75" customHeight="1" x14ac:dyDescent="0.3">
      <c r="A536" s="14"/>
      <c r="B536" s="14"/>
      <c r="C536" s="63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2.75" customHeight="1" x14ac:dyDescent="0.3">
      <c r="A537" s="14"/>
      <c r="B537" s="14"/>
      <c r="C537" s="63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2.75" customHeight="1" x14ac:dyDescent="0.3">
      <c r="A538" s="14"/>
      <c r="B538" s="14"/>
      <c r="C538" s="63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2.75" customHeight="1" x14ac:dyDescent="0.3">
      <c r="A539" s="14"/>
      <c r="B539" s="14"/>
      <c r="C539" s="63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2.75" customHeight="1" x14ac:dyDescent="0.3">
      <c r="A540" s="14"/>
      <c r="B540" s="14"/>
      <c r="C540" s="63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2.75" customHeight="1" x14ac:dyDescent="0.3">
      <c r="A541" s="14"/>
      <c r="B541" s="14"/>
      <c r="C541" s="63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2.75" customHeight="1" x14ac:dyDescent="0.3">
      <c r="A542" s="14"/>
      <c r="B542" s="14"/>
      <c r="C542" s="63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2.75" customHeight="1" x14ac:dyDescent="0.3">
      <c r="A543" s="14"/>
      <c r="B543" s="14"/>
      <c r="C543" s="63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2.75" customHeight="1" x14ac:dyDescent="0.3">
      <c r="A544" s="14"/>
      <c r="B544" s="14"/>
      <c r="C544" s="63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2.75" customHeight="1" x14ac:dyDescent="0.3">
      <c r="A545" s="14"/>
      <c r="B545" s="14"/>
      <c r="C545" s="63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2.75" customHeight="1" x14ac:dyDescent="0.3">
      <c r="A546" s="14"/>
      <c r="B546" s="14"/>
      <c r="C546" s="63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2.75" customHeight="1" x14ac:dyDescent="0.3">
      <c r="A547" s="14"/>
      <c r="B547" s="14"/>
      <c r="C547" s="63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2.75" customHeight="1" x14ac:dyDescent="0.3">
      <c r="A548" s="14"/>
      <c r="B548" s="14"/>
      <c r="C548" s="63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2.75" customHeight="1" x14ac:dyDescent="0.3">
      <c r="A549" s="14"/>
      <c r="B549" s="14"/>
      <c r="C549" s="63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2.75" customHeight="1" x14ac:dyDescent="0.3">
      <c r="A550" s="14"/>
      <c r="B550" s="14"/>
      <c r="C550" s="63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2.75" customHeight="1" x14ac:dyDescent="0.3">
      <c r="A551" s="14"/>
      <c r="B551" s="14"/>
      <c r="C551" s="63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2.75" customHeight="1" x14ac:dyDescent="0.3">
      <c r="A552" s="14"/>
      <c r="B552" s="14"/>
      <c r="C552" s="63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2.75" customHeight="1" x14ac:dyDescent="0.3">
      <c r="A553" s="14"/>
      <c r="B553" s="14"/>
      <c r="C553" s="63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2.75" customHeight="1" x14ac:dyDescent="0.3">
      <c r="A554" s="14"/>
      <c r="B554" s="14"/>
      <c r="C554" s="63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2.75" customHeight="1" x14ac:dyDescent="0.3">
      <c r="A555" s="14"/>
      <c r="B555" s="14"/>
      <c r="C555" s="63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2.75" customHeight="1" x14ac:dyDescent="0.3">
      <c r="A556" s="14"/>
      <c r="B556" s="14"/>
      <c r="C556" s="6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2.75" customHeight="1" x14ac:dyDescent="0.3">
      <c r="A557" s="14"/>
      <c r="B557" s="14"/>
      <c r="C557" s="63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2.75" customHeight="1" x14ac:dyDescent="0.3">
      <c r="A558" s="14"/>
      <c r="B558" s="14"/>
      <c r="C558" s="63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2.75" customHeight="1" x14ac:dyDescent="0.3">
      <c r="A559" s="14"/>
      <c r="B559" s="14"/>
      <c r="C559" s="63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2.75" customHeight="1" x14ac:dyDescent="0.3">
      <c r="A560" s="14"/>
      <c r="B560" s="14"/>
      <c r="C560" s="63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2.75" customHeight="1" x14ac:dyDescent="0.3">
      <c r="A561" s="14"/>
      <c r="B561" s="14"/>
      <c r="C561" s="63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2.75" customHeight="1" x14ac:dyDescent="0.3">
      <c r="A562" s="14"/>
      <c r="B562" s="14"/>
      <c r="C562" s="63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2.75" customHeight="1" x14ac:dyDescent="0.3">
      <c r="A563" s="14"/>
      <c r="B563" s="14"/>
      <c r="C563" s="63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2.75" customHeight="1" x14ac:dyDescent="0.3">
      <c r="A564" s="14"/>
      <c r="B564" s="14"/>
      <c r="C564" s="63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2.75" customHeight="1" x14ac:dyDescent="0.3">
      <c r="A565" s="14"/>
      <c r="B565" s="14"/>
      <c r="C565" s="63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2.75" customHeight="1" x14ac:dyDescent="0.3">
      <c r="A566" s="14"/>
      <c r="B566" s="14"/>
      <c r="C566" s="63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2.75" customHeight="1" x14ac:dyDescent="0.3">
      <c r="A567" s="14"/>
      <c r="B567" s="14"/>
      <c r="C567" s="63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2.75" customHeight="1" x14ac:dyDescent="0.3">
      <c r="A568" s="14"/>
      <c r="B568" s="14"/>
      <c r="C568" s="63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2.75" customHeight="1" x14ac:dyDescent="0.3">
      <c r="A569" s="14"/>
      <c r="B569" s="14"/>
      <c r="C569" s="63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2.75" customHeight="1" x14ac:dyDescent="0.3">
      <c r="A570" s="14"/>
      <c r="B570" s="14"/>
      <c r="C570" s="63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2.75" customHeight="1" x14ac:dyDescent="0.3">
      <c r="A571" s="14"/>
      <c r="B571" s="14"/>
      <c r="C571" s="63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2.75" customHeight="1" x14ac:dyDescent="0.3">
      <c r="A572" s="14"/>
      <c r="B572" s="14"/>
      <c r="C572" s="63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2.75" customHeight="1" x14ac:dyDescent="0.3">
      <c r="A573" s="14"/>
      <c r="B573" s="14"/>
      <c r="C573" s="63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2.75" customHeight="1" x14ac:dyDescent="0.3">
      <c r="A574" s="14"/>
      <c r="B574" s="14"/>
      <c r="C574" s="63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2.75" customHeight="1" x14ac:dyDescent="0.3">
      <c r="A575" s="14"/>
      <c r="B575" s="14"/>
      <c r="C575" s="63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2.75" customHeight="1" x14ac:dyDescent="0.3">
      <c r="A576" s="14"/>
      <c r="B576" s="14"/>
      <c r="C576" s="63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2.75" customHeight="1" x14ac:dyDescent="0.3">
      <c r="A577" s="14"/>
      <c r="B577" s="14"/>
      <c r="C577" s="63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2.75" customHeight="1" x14ac:dyDescent="0.3">
      <c r="A578" s="14"/>
      <c r="B578" s="14"/>
      <c r="C578" s="63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2.75" customHeight="1" x14ac:dyDescent="0.3">
      <c r="A579" s="14"/>
      <c r="B579" s="14"/>
      <c r="C579" s="63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2.75" customHeight="1" x14ac:dyDescent="0.3">
      <c r="A580" s="14"/>
      <c r="B580" s="14"/>
      <c r="C580" s="63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2.75" customHeight="1" x14ac:dyDescent="0.3">
      <c r="A581" s="14"/>
      <c r="B581" s="14"/>
      <c r="C581" s="63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2.75" customHeight="1" x14ac:dyDescent="0.3">
      <c r="A582" s="14"/>
      <c r="B582" s="14"/>
      <c r="C582" s="63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2.75" customHeight="1" x14ac:dyDescent="0.3">
      <c r="A583" s="14"/>
      <c r="B583" s="14"/>
      <c r="C583" s="63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2.75" customHeight="1" x14ac:dyDescent="0.3">
      <c r="A584" s="14"/>
      <c r="B584" s="14"/>
      <c r="C584" s="63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2.75" customHeight="1" x14ac:dyDescent="0.3">
      <c r="A585" s="14"/>
      <c r="B585" s="14"/>
      <c r="C585" s="63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2.75" customHeight="1" x14ac:dyDescent="0.3">
      <c r="A586" s="14"/>
      <c r="B586" s="14"/>
      <c r="C586" s="63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2.75" customHeight="1" x14ac:dyDescent="0.3">
      <c r="A587" s="14"/>
      <c r="B587" s="14"/>
      <c r="C587" s="63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2.75" customHeight="1" x14ac:dyDescent="0.3">
      <c r="A588" s="14"/>
      <c r="B588" s="14"/>
      <c r="C588" s="63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2.75" customHeight="1" x14ac:dyDescent="0.3">
      <c r="A589" s="14"/>
      <c r="B589" s="14"/>
      <c r="C589" s="63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2.75" customHeight="1" x14ac:dyDescent="0.3">
      <c r="A590" s="14"/>
      <c r="B590" s="14"/>
      <c r="C590" s="63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2.75" customHeight="1" x14ac:dyDescent="0.3">
      <c r="A591" s="14"/>
      <c r="B591" s="14"/>
      <c r="C591" s="63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2.75" customHeight="1" x14ac:dyDescent="0.3">
      <c r="A592" s="14"/>
      <c r="B592" s="14"/>
      <c r="C592" s="63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2.75" customHeight="1" x14ac:dyDescent="0.3">
      <c r="A593" s="14"/>
      <c r="B593" s="14"/>
      <c r="C593" s="63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2.75" customHeight="1" x14ac:dyDescent="0.3">
      <c r="A594" s="14"/>
      <c r="B594" s="14"/>
      <c r="C594" s="63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2.75" customHeight="1" x14ac:dyDescent="0.3">
      <c r="A595" s="14"/>
      <c r="B595" s="14"/>
      <c r="C595" s="63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2.75" customHeight="1" x14ac:dyDescent="0.3">
      <c r="A596" s="14"/>
      <c r="B596" s="14"/>
      <c r="C596" s="63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2.75" customHeight="1" x14ac:dyDescent="0.3">
      <c r="A597" s="14"/>
      <c r="B597" s="14"/>
      <c r="C597" s="63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2.75" customHeight="1" x14ac:dyDescent="0.3">
      <c r="A598" s="14"/>
      <c r="B598" s="14"/>
      <c r="C598" s="63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2.75" customHeight="1" x14ac:dyDescent="0.3">
      <c r="A599" s="14"/>
      <c r="B599" s="14"/>
      <c r="C599" s="63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2.75" customHeight="1" x14ac:dyDescent="0.3">
      <c r="A600" s="14"/>
      <c r="B600" s="14"/>
      <c r="C600" s="63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2.75" customHeight="1" x14ac:dyDescent="0.3">
      <c r="A601" s="14"/>
      <c r="B601" s="14"/>
      <c r="C601" s="63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2.75" customHeight="1" x14ac:dyDescent="0.3">
      <c r="A602" s="14"/>
      <c r="B602" s="14"/>
      <c r="C602" s="63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2.75" customHeight="1" x14ac:dyDescent="0.3">
      <c r="A603" s="14"/>
      <c r="B603" s="14"/>
      <c r="C603" s="63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2.75" customHeight="1" x14ac:dyDescent="0.3">
      <c r="A604" s="14"/>
      <c r="B604" s="14"/>
      <c r="C604" s="63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2.75" customHeight="1" x14ac:dyDescent="0.3">
      <c r="A605" s="14"/>
      <c r="B605" s="14"/>
      <c r="C605" s="63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2.75" customHeight="1" x14ac:dyDescent="0.3">
      <c r="A606" s="14"/>
      <c r="B606" s="14"/>
      <c r="C606" s="63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2.75" customHeight="1" x14ac:dyDescent="0.3">
      <c r="A607" s="14"/>
      <c r="B607" s="14"/>
      <c r="C607" s="63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2.75" customHeight="1" x14ac:dyDescent="0.3">
      <c r="A608" s="14"/>
      <c r="B608" s="14"/>
      <c r="C608" s="63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2.75" customHeight="1" x14ac:dyDescent="0.3">
      <c r="A609" s="14"/>
      <c r="B609" s="14"/>
      <c r="C609" s="63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2.75" customHeight="1" x14ac:dyDescent="0.3">
      <c r="A610" s="14"/>
      <c r="B610" s="14"/>
      <c r="C610" s="63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2.75" customHeight="1" x14ac:dyDescent="0.3">
      <c r="A611" s="14"/>
      <c r="B611" s="14"/>
      <c r="C611" s="63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2.75" customHeight="1" x14ac:dyDescent="0.3">
      <c r="A612" s="14"/>
      <c r="B612" s="14"/>
      <c r="C612" s="63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2.75" customHeight="1" x14ac:dyDescent="0.3">
      <c r="A613" s="14"/>
      <c r="B613" s="14"/>
      <c r="C613" s="63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2.75" customHeight="1" x14ac:dyDescent="0.3">
      <c r="A614" s="14"/>
      <c r="B614" s="14"/>
      <c r="C614" s="63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2.75" customHeight="1" x14ac:dyDescent="0.3">
      <c r="A615" s="14"/>
      <c r="B615" s="14"/>
      <c r="C615" s="63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2.75" customHeight="1" x14ac:dyDescent="0.3">
      <c r="A616" s="14"/>
      <c r="B616" s="14"/>
      <c r="C616" s="63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2.75" customHeight="1" x14ac:dyDescent="0.3">
      <c r="A617" s="14"/>
      <c r="B617" s="14"/>
      <c r="C617" s="63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2.75" customHeight="1" x14ac:dyDescent="0.3">
      <c r="A618" s="14"/>
      <c r="B618" s="14"/>
      <c r="C618" s="63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2.75" customHeight="1" x14ac:dyDescent="0.3">
      <c r="A619" s="14"/>
      <c r="B619" s="14"/>
      <c r="C619" s="63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2.75" customHeight="1" x14ac:dyDescent="0.3">
      <c r="A620" s="14"/>
      <c r="B620" s="14"/>
      <c r="C620" s="63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2.75" customHeight="1" x14ac:dyDescent="0.3">
      <c r="A621" s="14"/>
      <c r="B621" s="14"/>
      <c r="C621" s="63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2.75" customHeight="1" x14ac:dyDescent="0.3">
      <c r="A622" s="14"/>
      <c r="B622" s="14"/>
      <c r="C622" s="63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2.75" customHeight="1" x14ac:dyDescent="0.3">
      <c r="A623" s="14"/>
      <c r="B623" s="14"/>
      <c r="C623" s="63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2.75" customHeight="1" x14ac:dyDescent="0.3">
      <c r="A624" s="14"/>
      <c r="B624" s="14"/>
      <c r="C624" s="63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2.75" customHeight="1" x14ac:dyDescent="0.3">
      <c r="A625" s="14"/>
      <c r="B625" s="14"/>
      <c r="C625" s="63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2.75" customHeight="1" x14ac:dyDescent="0.3">
      <c r="A626" s="14"/>
      <c r="B626" s="14"/>
      <c r="C626" s="63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2.75" customHeight="1" x14ac:dyDescent="0.3">
      <c r="A627" s="14"/>
      <c r="B627" s="14"/>
      <c r="C627" s="63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2.75" customHeight="1" x14ac:dyDescent="0.3">
      <c r="A628" s="14"/>
      <c r="B628" s="14"/>
      <c r="C628" s="63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2.75" customHeight="1" x14ac:dyDescent="0.3">
      <c r="A629" s="14"/>
      <c r="B629" s="14"/>
      <c r="C629" s="63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2.75" customHeight="1" x14ac:dyDescent="0.3">
      <c r="A630" s="14"/>
      <c r="B630" s="14"/>
      <c r="C630" s="63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2.75" customHeight="1" x14ac:dyDescent="0.3">
      <c r="A631" s="14"/>
      <c r="B631" s="14"/>
      <c r="C631" s="63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2.75" customHeight="1" x14ac:dyDescent="0.3">
      <c r="A632" s="14"/>
      <c r="B632" s="14"/>
      <c r="C632" s="63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2.75" customHeight="1" x14ac:dyDescent="0.3">
      <c r="A633" s="14"/>
      <c r="B633" s="14"/>
      <c r="C633" s="63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2.75" customHeight="1" x14ac:dyDescent="0.3">
      <c r="A634" s="14"/>
      <c r="B634" s="14"/>
      <c r="C634" s="63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2.75" customHeight="1" x14ac:dyDescent="0.3">
      <c r="A635" s="14"/>
      <c r="B635" s="14"/>
      <c r="C635" s="63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2.75" customHeight="1" x14ac:dyDescent="0.3">
      <c r="A636" s="14"/>
      <c r="B636" s="14"/>
      <c r="C636" s="63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2.75" customHeight="1" x14ac:dyDescent="0.3">
      <c r="A637" s="14"/>
      <c r="B637" s="14"/>
      <c r="C637" s="63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2.75" customHeight="1" x14ac:dyDescent="0.3">
      <c r="A638" s="14"/>
      <c r="B638" s="14"/>
      <c r="C638" s="63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2.75" customHeight="1" x14ac:dyDescent="0.3">
      <c r="A639" s="14"/>
      <c r="B639" s="14"/>
      <c r="C639" s="63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2.75" customHeight="1" x14ac:dyDescent="0.3">
      <c r="A640" s="14"/>
      <c r="B640" s="14"/>
      <c r="C640" s="63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2.75" customHeight="1" x14ac:dyDescent="0.3">
      <c r="A641" s="14"/>
      <c r="B641" s="14"/>
      <c r="C641" s="63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2.75" customHeight="1" x14ac:dyDescent="0.3">
      <c r="A642" s="14"/>
      <c r="B642" s="14"/>
      <c r="C642" s="63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2.75" customHeight="1" x14ac:dyDescent="0.3">
      <c r="A643" s="14"/>
      <c r="B643" s="14"/>
      <c r="C643" s="63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2.75" customHeight="1" x14ac:dyDescent="0.3">
      <c r="A644" s="14"/>
      <c r="B644" s="14"/>
      <c r="C644" s="63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2.75" customHeight="1" x14ac:dyDescent="0.3">
      <c r="A645" s="14"/>
      <c r="B645" s="14"/>
      <c r="C645" s="63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2.75" customHeight="1" x14ac:dyDescent="0.3">
      <c r="A646" s="14"/>
      <c r="B646" s="14"/>
      <c r="C646" s="63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2.75" customHeight="1" x14ac:dyDescent="0.3">
      <c r="A647" s="14"/>
      <c r="B647" s="14"/>
      <c r="C647" s="63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2.75" customHeight="1" x14ac:dyDescent="0.3">
      <c r="A648" s="14"/>
      <c r="B648" s="14"/>
      <c r="C648" s="63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2.75" customHeight="1" x14ac:dyDescent="0.3">
      <c r="A649" s="14"/>
      <c r="B649" s="14"/>
      <c r="C649" s="63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2.75" customHeight="1" x14ac:dyDescent="0.3">
      <c r="A650" s="14"/>
      <c r="B650" s="14"/>
      <c r="C650" s="63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2.75" customHeight="1" x14ac:dyDescent="0.3">
      <c r="A651" s="14"/>
      <c r="B651" s="14"/>
      <c r="C651" s="63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2.75" customHeight="1" x14ac:dyDescent="0.3">
      <c r="A652" s="14"/>
      <c r="B652" s="14"/>
      <c r="C652" s="63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2.75" customHeight="1" x14ac:dyDescent="0.3">
      <c r="A653" s="14"/>
      <c r="B653" s="14"/>
      <c r="C653" s="63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2.75" customHeight="1" x14ac:dyDescent="0.3">
      <c r="A654" s="14"/>
      <c r="B654" s="14"/>
      <c r="C654" s="63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2.75" customHeight="1" x14ac:dyDescent="0.3">
      <c r="A655" s="14"/>
      <c r="B655" s="14"/>
      <c r="C655" s="63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2.75" customHeight="1" x14ac:dyDescent="0.3">
      <c r="A656" s="14"/>
      <c r="B656" s="14"/>
      <c r="C656" s="63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2.75" customHeight="1" x14ac:dyDescent="0.3">
      <c r="A657" s="14"/>
      <c r="B657" s="14"/>
      <c r="C657" s="63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2.75" customHeight="1" x14ac:dyDescent="0.3">
      <c r="A658" s="14"/>
      <c r="B658" s="14"/>
      <c r="C658" s="6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2.75" customHeight="1" x14ac:dyDescent="0.3">
      <c r="A659" s="14"/>
      <c r="B659" s="14"/>
      <c r="C659" s="63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2.75" customHeight="1" x14ac:dyDescent="0.3">
      <c r="A660" s="14"/>
      <c r="B660" s="14"/>
      <c r="C660" s="63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2.75" customHeight="1" x14ac:dyDescent="0.3">
      <c r="A661" s="14"/>
      <c r="B661" s="14"/>
      <c r="C661" s="63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2.75" customHeight="1" x14ac:dyDescent="0.3">
      <c r="A662" s="14"/>
      <c r="B662" s="14"/>
      <c r="C662" s="63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2.75" customHeight="1" x14ac:dyDescent="0.3">
      <c r="A663" s="14"/>
      <c r="B663" s="14"/>
      <c r="C663" s="63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2.75" customHeight="1" x14ac:dyDescent="0.3">
      <c r="A664" s="14"/>
      <c r="B664" s="14"/>
      <c r="C664" s="63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2.75" customHeight="1" x14ac:dyDescent="0.3">
      <c r="A665" s="14"/>
      <c r="B665" s="14"/>
      <c r="C665" s="63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2.75" customHeight="1" x14ac:dyDescent="0.3">
      <c r="A666" s="14"/>
      <c r="B666" s="14"/>
      <c r="C666" s="63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2.75" customHeight="1" x14ac:dyDescent="0.3">
      <c r="A667" s="14"/>
      <c r="B667" s="14"/>
      <c r="C667" s="63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2.75" customHeight="1" x14ac:dyDescent="0.3">
      <c r="A668" s="14"/>
      <c r="B668" s="14"/>
      <c r="C668" s="63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2.75" customHeight="1" x14ac:dyDescent="0.3">
      <c r="A669" s="14"/>
      <c r="B669" s="14"/>
      <c r="C669" s="63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2.75" customHeight="1" x14ac:dyDescent="0.3">
      <c r="A670" s="14"/>
      <c r="B670" s="14"/>
      <c r="C670" s="63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2.75" customHeight="1" x14ac:dyDescent="0.3">
      <c r="A671" s="14"/>
      <c r="B671" s="14"/>
      <c r="C671" s="63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2.75" customHeight="1" x14ac:dyDescent="0.3">
      <c r="A672" s="14"/>
      <c r="B672" s="14"/>
      <c r="C672" s="63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2.75" customHeight="1" x14ac:dyDescent="0.3">
      <c r="A673" s="14"/>
      <c r="B673" s="14"/>
      <c r="C673" s="63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2.75" customHeight="1" x14ac:dyDescent="0.3">
      <c r="A674" s="14"/>
      <c r="B674" s="14"/>
      <c r="C674" s="63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2.75" customHeight="1" x14ac:dyDescent="0.3">
      <c r="A675" s="14"/>
      <c r="B675" s="14"/>
      <c r="C675" s="63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2.75" customHeight="1" x14ac:dyDescent="0.3">
      <c r="A676" s="14"/>
      <c r="B676" s="14"/>
      <c r="C676" s="63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2.75" customHeight="1" x14ac:dyDescent="0.3">
      <c r="A677" s="14"/>
      <c r="B677" s="14"/>
      <c r="C677" s="63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2.75" customHeight="1" x14ac:dyDescent="0.3">
      <c r="A678" s="14"/>
      <c r="B678" s="14"/>
      <c r="C678" s="63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2.75" customHeight="1" x14ac:dyDescent="0.3">
      <c r="A679" s="14"/>
      <c r="B679" s="14"/>
      <c r="C679" s="63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2.75" customHeight="1" x14ac:dyDescent="0.3">
      <c r="A680" s="14"/>
      <c r="B680" s="14"/>
      <c r="C680" s="63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2.75" customHeight="1" x14ac:dyDescent="0.3">
      <c r="A681" s="14"/>
      <c r="B681" s="14"/>
      <c r="C681" s="63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2.75" customHeight="1" x14ac:dyDescent="0.3">
      <c r="A682" s="14"/>
      <c r="B682" s="14"/>
      <c r="C682" s="63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2.75" customHeight="1" x14ac:dyDescent="0.3">
      <c r="A683" s="14"/>
      <c r="B683" s="14"/>
      <c r="C683" s="63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2.75" customHeight="1" x14ac:dyDescent="0.3">
      <c r="A684" s="14"/>
      <c r="B684" s="14"/>
      <c r="C684" s="63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2.75" customHeight="1" x14ac:dyDescent="0.3">
      <c r="A685" s="14"/>
      <c r="B685" s="14"/>
      <c r="C685" s="63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2.75" customHeight="1" x14ac:dyDescent="0.3">
      <c r="A686" s="14"/>
      <c r="B686" s="14"/>
      <c r="C686" s="63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2.75" customHeight="1" x14ac:dyDescent="0.3">
      <c r="A687" s="14"/>
      <c r="B687" s="14"/>
      <c r="C687" s="63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2.75" customHeight="1" x14ac:dyDescent="0.3">
      <c r="A688" s="14"/>
      <c r="B688" s="14"/>
      <c r="C688" s="63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2.75" customHeight="1" x14ac:dyDescent="0.3">
      <c r="A689" s="14"/>
      <c r="B689" s="14"/>
      <c r="C689" s="63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2.75" customHeight="1" x14ac:dyDescent="0.3">
      <c r="A690" s="14"/>
      <c r="B690" s="14"/>
      <c r="C690" s="63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2.75" customHeight="1" x14ac:dyDescent="0.3">
      <c r="A691" s="14"/>
      <c r="B691" s="14"/>
      <c r="C691" s="63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2.75" customHeight="1" x14ac:dyDescent="0.3">
      <c r="A692" s="14"/>
      <c r="B692" s="14"/>
      <c r="C692" s="63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2.75" customHeight="1" x14ac:dyDescent="0.3">
      <c r="A693" s="14"/>
      <c r="B693" s="14"/>
      <c r="C693" s="63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2.75" customHeight="1" x14ac:dyDescent="0.3">
      <c r="A694" s="14"/>
      <c r="B694" s="14"/>
      <c r="C694" s="63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2.75" customHeight="1" x14ac:dyDescent="0.3">
      <c r="A695" s="14"/>
      <c r="B695" s="14"/>
      <c r="C695" s="63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2.75" customHeight="1" x14ac:dyDescent="0.3">
      <c r="A696" s="14"/>
      <c r="B696" s="14"/>
      <c r="C696" s="63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2.75" customHeight="1" x14ac:dyDescent="0.3">
      <c r="A697" s="14"/>
      <c r="B697" s="14"/>
      <c r="C697" s="63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2.75" customHeight="1" x14ac:dyDescent="0.3">
      <c r="A698" s="14"/>
      <c r="B698" s="14"/>
      <c r="C698" s="63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2.75" customHeight="1" x14ac:dyDescent="0.3">
      <c r="A699" s="14"/>
      <c r="B699" s="14"/>
      <c r="C699" s="63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2.75" customHeight="1" x14ac:dyDescent="0.3">
      <c r="A700" s="14"/>
      <c r="B700" s="14"/>
      <c r="C700" s="63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2.75" customHeight="1" x14ac:dyDescent="0.3">
      <c r="A701" s="14"/>
      <c r="B701" s="14"/>
      <c r="C701" s="63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2.75" customHeight="1" x14ac:dyDescent="0.3">
      <c r="A702" s="14"/>
      <c r="B702" s="14"/>
      <c r="C702" s="63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2.75" customHeight="1" x14ac:dyDescent="0.3">
      <c r="A703" s="14"/>
      <c r="B703" s="14"/>
      <c r="C703" s="63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2.75" customHeight="1" x14ac:dyDescent="0.3">
      <c r="A704" s="14"/>
      <c r="B704" s="14"/>
      <c r="C704" s="63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2.75" customHeight="1" x14ac:dyDescent="0.3">
      <c r="A705" s="14"/>
      <c r="B705" s="14"/>
      <c r="C705" s="63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2.75" customHeight="1" x14ac:dyDescent="0.3">
      <c r="A706" s="14"/>
      <c r="B706" s="14"/>
      <c r="C706" s="63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2.75" customHeight="1" x14ac:dyDescent="0.3">
      <c r="A707" s="14"/>
      <c r="B707" s="14"/>
      <c r="C707" s="63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2.75" customHeight="1" x14ac:dyDescent="0.3">
      <c r="A708" s="14"/>
      <c r="B708" s="14"/>
      <c r="C708" s="63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2.75" customHeight="1" x14ac:dyDescent="0.3">
      <c r="A709" s="14"/>
      <c r="B709" s="14"/>
      <c r="C709" s="63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2.75" customHeight="1" x14ac:dyDescent="0.3">
      <c r="A710" s="14"/>
      <c r="B710" s="14"/>
      <c r="C710" s="63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2.75" customHeight="1" x14ac:dyDescent="0.3">
      <c r="A711" s="14"/>
      <c r="B711" s="14"/>
      <c r="C711" s="63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2.75" customHeight="1" x14ac:dyDescent="0.3">
      <c r="A712" s="14"/>
      <c r="B712" s="14"/>
      <c r="C712" s="63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2.75" customHeight="1" x14ac:dyDescent="0.3">
      <c r="A713" s="14"/>
      <c r="B713" s="14"/>
      <c r="C713" s="63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2.75" customHeight="1" x14ac:dyDescent="0.3">
      <c r="A714" s="14"/>
      <c r="B714" s="14"/>
      <c r="C714" s="63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2.75" customHeight="1" x14ac:dyDescent="0.3">
      <c r="A715" s="14"/>
      <c r="B715" s="14"/>
      <c r="C715" s="63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2.75" customHeight="1" x14ac:dyDescent="0.3">
      <c r="A716" s="14"/>
      <c r="B716" s="14"/>
      <c r="C716" s="63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2.75" customHeight="1" x14ac:dyDescent="0.3">
      <c r="A717" s="14"/>
      <c r="B717" s="14"/>
      <c r="C717" s="63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2.75" customHeight="1" x14ac:dyDescent="0.3">
      <c r="A718" s="14"/>
      <c r="B718" s="14"/>
      <c r="C718" s="63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2.75" customHeight="1" x14ac:dyDescent="0.3">
      <c r="A719" s="14"/>
      <c r="B719" s="14"/>
      <c r="C719" s="63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2.75" customHeight="1" x14ac:dyDescent="0.3">
      <c r="A720" s="14"/>
      <c r="B720" s="14"/>
      <c r="C720" s="63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2.75" customHeight="1" x14ac:dyDescent="0.3">
      <c r="A721" s="14"/>
      <c r="B721" s="14"/>
      <c r="C721" s="63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2.75" customHeight="1" x14ac:dyDescent="0.3">
      <c r="A722" s="14"/>
      <c r="B722" s="14"/>
      <c r="C722" s="63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2.75" customHeight="1" x14ac:dyDescent="0.3">
      <c r="A723" s="14"/>
      <c r="B723" s="14"/>
      <c r="C723" s="63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2.75" customHeight="1" x14ac:dyDescent="0.3">
      <c r="A724" s="14"/>
      <c r="B724" s="14"/>
      <c r="C724" s="63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2.75" customHeight="1" x14ac:dyDescent="0.3">
      <c r="A725" s="14"/>
      <c r="B725" s="14"/>
      <c r="C725" s="63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2.75" customHeight="1" x14ac:dyDescent="0.3">
      <c r="A726" s="14"/>
      <c r="B726" s="14"/>
      <c r="C726" s="63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2.75" customHeight="1" x14ac:dyDescent="0.3">
      <c r="A727" s="14"/>
      <c r="B727" s="14"/>
      <c r="C727" s="63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2.75" customHeight="1" x14ac:dyDescent="0.3">
      <c r="A728" s="14"/>
      <c r="B728" s="14"/>
      <c r="C728" s="63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2.75" customHeight="1" x14ac:dyDescent="0.3">
      <c r="A729" s="14"/>
      <c r="B729" s="14"/>
      <c r="C729" s="63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2.75" customHeight="1" x14ac:dyDescent="0.3">
      <c r="A730" s="14"/>
      <c r="B730" s="14"/>
      <c r="C730" s="63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2.75" customHeight="1" x14ac:dyDescent="0.3">
      <c r="A731" s="14"/>
      <c r="B731" s="14"/>
      <c r="C731" s="63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2.75" customHeight="1" x14ac:dyDescent="0.3">
      <c r="A732" s="14"/>
      <c r="B732" s="14"/>
      <c r="C732" s="63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2.75" customHeight="1" x14ac:dyDescent="0.3">
      <c r="A733" s="14"/>
      <c r="B733" s="14"/>
      <c r="C733" s="63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2.75" customHeight="1" x14ac:dyDescent="0.3">
      <c r="A734" s="14"/>
      <c r="B734" s="14"/>
      <c r="C734" s="63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2.75" customHeight="1" x14ac:dyDescent="0.3">
      <c r="A735" s="14"/>
      <c r="B735" s="14"/>
      <c r="C735" s="63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2.75" customHeight="1" x14ac:dyDescent="0.3">
      <c r="A736" s="14"/>
      <c r="B736" s="14"/>
      <c r="C736" s="63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2.75" customHeight="1" x14ac:dyDescent="0.3">
      <c r="A737" s="14"/>
      <c r="B737" s="14"/>
      <c r="C737" s="63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2.75" customHeight="1" x14ac:dyDescent="0.3">
      <c r="A738" s="14"/>
      <c r="B738" s="14"/>
      <c r="C738" s="63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2.75" customHeight="1" x14ac:dyDescent="0.3">
      <c r="A739" s="14"/>
      <c r="B739" s="14"/>
      <c r="C739" s="63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2.75" customHeight="1" x14ac:dyDescent="0.3">
      <c r="A740" s="14"/>
      <c r="B740" s="14"/>
      <c r="C740" s="63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2.75" customHeight="1" x14ac:dyDescent="0.3">
      <c r="A741" s="14"/>
      <c r="B741" s="14"/>
      <c r="C741" s="63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2.75" customHeight="1" x14ac:dyDescent="0.3">
      <c r="A742" s="14"/>
      <c r="B742" s="14"/>
      <c r="C742" s="63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2.75" customHeight="1" x14ac:dyDescent="0.3">
      <c r="A743" s="14"/>
      <c r="B743" s="14"/>
      <c r="C743" s="63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2.75" customHeight="1" x14ac:dyDescent="0.3">
      <c r="A744" s="14"/>
      <c r="B744" s="14"/>
      <c r="C744" s="63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2.75" customHeight="1" x14ac:dyDescent="0.3">
      <c r="A745" s="14"/>
      <c r="B745" s="14"/>
      <c r="C745" s="63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2.75" customHeight="1" x14ac:dyDescent="0.3">
      <c r="A746" s="14"/>
      <c r="B746" s="14"/>
      <c r="C746" s="63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2.75" customHeight="1" x14ac:dyDescent="0.3">
      <c r="A747" s="14"/>
      <c r="B747" s="14"/>
      <c r="C747" s="63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2.75" customHeight="1" x14ac:dyDescent="0.3">
      <c r="A748" s="14"/>
      <c r="B748" s="14"/>
      <c r="C748" s="63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2.75" customHeight="1" x14ac:dyDescent="0.3">
      <c r="A749" s="14"/>
      <c r="B749" s="14"/>
      <c r="C749" s="63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2.75" customHeight="1" x14ac:dyDescent="0.3">
      <c r="A750" s="14"/>
      <c r="B750" s="14"/>
      <c r="C750" s="63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2.75" customHeight="1" x14ac:dyDescent="0.3">
      <c r="A751" s="14"/>
      <c r="B751" s="14"/>
      <c r="C751" s="63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2.75" customHeight="1" x14ac:dyDescent="0.3">
      <c r="A752" s="14"/>
      <c r="B752" s="14"/>
      <c r="C752" s="63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2.75" customHeight="1" x14ac:dyDescent="0.3">
      <c r="A753" s="14"/>
      <c r="B753" s="14"/>
      <c r="C753" s="63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2.75" customHeight="1" x14ac:dyDescent="0.3">
      <c r="A754" s="14"/>
      <c r="B754" s="14"/>
      <c r="C754" s="63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2.75" customHeight="1" x14ac:dyDescent="0.3">
      <c r="A755" s="14"/>
      <c r="B755" s="14"/>
      <c r="C755" s="63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2.75" customHeight="1" x14ac:dyDescent="0.3">
      <c r="A756" s="14"/>
      <c r="B756" s="14"/>
      <c r="C756" s="63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2.75" customHeight="1" x14ac:dyDescent="0.3">
      <c r="A757" s="14"/>
      <c r="B757" s="14"/>
      <c r="C757" s="63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2.75" customHeight="1" x14ac:dyDescent="0.3">
      <c r="A758" s="14"/>
      <c r="B758" s="14"/>
      <c r="C758" s="63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2.75" customHeight="1" x14ac:dyDescent="0.3">
      <c r="A759" s="14"/>
      <c r="B759" s="14"/>
      <c r="C759" s="63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2.75" customHeight="1" x14ac:dyDescent="0.3">
      <c r="A760" s="14"/>
      <c r="B760" s="14"/>
      <c r="C760" s="6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2.75" customHeight="1" x14ac:dyDescent="0.3">
      <c r="A761" s="14"/>
      <c r="B761" s="14"/>
      <c r="C761" s="63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2.75" customHeight="1" x14ac:dyDescent="0.3">
      <c r="A762" s="14"/>
      <c r="B762" s="14"/>
      <c r="C762" s="63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2.75" customHeight="1" x14ac:dyDescent="0.3">
      <c r="A763" s="14"/>
      <c r="B763" s="14"/>
      <c r="C763" s="63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2.75" customHeight="1" x14ac:dyDescent="0.3">
      <c r="A764" s="14"/>
      <c r="B764" s="14"/>
      <c r="C764" s="63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2.75" customHeight="1" x14ac:dyDescent="0.3">
      <c r="A765" s="14"/>
      <c r="B765" s="14"/>
      <c r="C765" s="63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2.75" customHeight="1" x14ac:dyDescent="0.3">
      <c r="A766" s="14"/>
      <c r="B766" s="14"/>
      <c r="C766" s="63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2.75" customHeight="1" x14ac:dyDescent="0.3">
      <c r="A767" s="14"/>
      <c r="B767" s="14"/>
      <c r="C767" s="63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2.75" customHeight="1" x14ac:dyDescent="0.3">
      <c r="A768" s="14"/>
      <c r="B768" s="14"/>
      <c r="C768" s="63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2.75" customHeight="1" x14ac:dyDescent="0.3">
      <c r="A769" s="14"/>
      <c r="B769" s="14"/>
      <c r="C769" s="63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2.75" customHeight="1" x14ac:dyDescent="0.3">
      <c r="A770" s="14"/>
      <c r="B770" s="14"/>
      <c r="C770" s="63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2.75" customHeight="1" x14ac:dyDescent="0.3">
      <c r="A771" s="14"/>
      <c r="B771" s="14"/>
      <c r="C771" s="63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2.75" customHeight="1" x14ac:dyDescent="0.3">
      <c r="A772" s="14"/>
      <c r="B772" s="14"/>
      <c r="C772" s="63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2.75" customHeight="1" x14ac:dyDescent="0.3">
      <c r="A773" s="14"/>
      <c r="B773" s="14"/>
      <c r="C773" s="63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2.75" customHeight="1" x14ac:dyDescent="0.3">
      <c r="A774" s="14"/>
      <c r="B774" s="14"/>
      <c r="C774" s="63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2.75" customHeight="1" x14ac:dyDescent="0.3">
      <c r="A775" s="14"/>
      <c r="B775" s="14"/>
      <c r="C775" s="63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2.75" customHeight="1" x14ac:dyDescent="0.3">
      <c r="A776" s="14"/>
      <c r="B776" s="14"/>
      <c r="C776" s="63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2.75" customHeight="1" x14ac:dyDescent="0.3">
      <c r="A777" s="14"/>
      <c r="B777" s="14"/>
      <c r="C777" s="63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2.75" customHeight="1" x14ac:dyDescent="0.3">
      <c r="A778" s="14"/>
      <c r="B778" s="14"/>
      <c r="C778" s="63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2.75" customHeight="1" x14ac:dyDescent="0.3">
      <c r="A779" s="14"/>
      <c r="B779" s="14"/>
      <c r="C779" s="63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2.75" customHeight="1" x14ac:dyDescent="0.3">
      <c r="A780" s="14"/>
      <c r="B780" s="14"/>
      <c r="C780" s="63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2.75" customHeight="1" x14ac:dyDescent="0.3">
      <c r="A781" s="14"/>
      <c r="B781" s="14"/>
      <c r="C781" s="63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2.75" customHeight="1" x14ac:dyDescent="0.3">
      <c r="A782" s="14"/>
      <c r="B782" s="14"/>
      <c r="C782" s="63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2.75" customHeight="1" x14ac:dyDescent="0.3">
      <c r="A783" s="14"/>
      <c r="B783" s="14"/>
      <c r="C783" s="63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2.75" customHeight="1" x14ac:dyDescent="0.3">
      <c r="A784" s="14"/>
      <c r="B784" s="14"/>
      <c r="C784" s="63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2.75" customHeight="1" x14ac:dyDescent="0.3">
      <c r="A785" s="14"/>
      <c r="B785" s="14"/>
      <c r="C785" s="63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2.75" customHeight="1" x14ac:dyDescent="0.3">
      <c r="A786" s="14"/>
      <c r="B786" s="14"/>
      <c r="C786" s="63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2.75" customHeight="1" x14ac:dyDescent="0.3">
      <c r="A787" s="14"/>
      <c r="B787" s="14"/>
      <c r="C787" s="63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2.75" customHeight="1" x14ac:dyDescent="0.3">
      <c r="A788" s="14"/>
      <c r="B788" s="14"/>
      <c r="C788" s="63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2.75" customHeight="1" x14ac:dyDescent="0.3">
      <c r="A789" s="14"/>
      <c r="B789" s="14"/>
      <c r="C789" s="63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2.75" customHeight="1" x14ac:dyDescent="0.3">
      <c r="A790" s="14"/>
      <c r="B790" s="14"/>
      <c r="C790" s="63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2.75" customHeight="1" x14ac:dyDescent="0.3">
      <c r="A791" s="14"/>
      <c r="B791" s="14"/>
      <c r="C791" s="63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2.75" customHeight="1" x14ac:dyDescent="0.3">
      <c r="A792" s="14"/>
      <c r="B792" s="14"/>
      <c r="C792" s="63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2.75" customHeight="1" x14ac:dyDescent="0.3">
      <c r="A793" s="14"/>
      <c r="B793" s="14"/>
      <c r="C793" s="63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2.75" customHeight="1" x14ac:dyDescent="0.3">
      <c r="A794" s="14"/>
      <c r="B794" s="14"/>
      <c r="C794" s="63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2.75" customHeight="1" x14ac:dyDescent="0.3">
      <c r="A795" s="14"/>
      <c r="B795" s="14"/>
      <c r="C795" s="63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2.75" customHeight="1" x14ac:dyDescent="0.3">
      <c r="A796" s="14"/>
      <c r="B796" s="14"/>
      <c r="C796" s="63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2.75" customHeight="1" x14ac:dyDescent="0.3">
      <c r="A797" s="14"/>
      <c r="B797" s="14"/>
      <c r="C797" s="63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2.75" customHeight="1" x14ac:dyDescent="0.3">
      <c r="A798" s="14"/>
      <c r="B798" s="14"/>
      <c r="C798" s="63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2.75" customHeight="1" x14ac:dyDescent="0.3">
      <c r="A799" s="14"/>
      <c r="B799" s="14"/>
      <c r="C799" s="63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2.75" customHeight="1" x14ac:dyDescent="0.3">
      <c r="A800" s="14"/>
      <c r="B800" s="14"/>
      <c r="C800" s="63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2.75" customHeight="1" x14ac:dyDescent="0.3">
      <c r="A801" s="14"/>
      <c r="B801" s="14"/>
      <c r="C801" s="63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2.75" customHeight="1" x14ac:dyDescent="0.3">
      <c r="A802" s="14"/>
      <c r="B802" s="14"/>
      <c r="C802" s="63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2.75" customHeight="1" x14ac:dyDescent="0.3">
      <c r="A803" s="14"/>
      <c r="B803" s="14"/>
      <c r="C803" s="63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2.75" customHeight="1" x14ac:dyDescent="0.3">
      <c r="A804" s="14"/>
      <c r="B804" s="14"/>
      <c r="C804" s="63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2.75" customHeight="1" x14ac:dyDescent="0.3">
      <c r="A805" s="14"/>
      <c r="B805" s="14"/>
      <c r="C805" s="63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2.75" customHeight="1" x14ac:dyDescent="0.3">
      <c r="A806" s="14"/>
      <c r="B806" s="14"/>
      <c r="C806" s="63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2.75" customHeight="1" x14ac:dyDescent="0.3">
      <c r="A807" s="14"/>
      <c r="B807" s="14"/>
      <c r="C807" s="63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2.75" customHeight="1" x14ac:dyDescent="0.3">
      <c r="A808" s="14"/>
      <c r="B808" s="14"/>
      <c r="C808" s="63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2.75" customHeight="1" x14ac:dyDescent="0.3">
      <c r="A809" s="14"/>
      <c r="B809" s="14"/>
      <c r="C809" s="63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2.75" customHeight="1" x14ac:dyDescent="0.3">
      <c r="A810" s="14"/>
      <c r="B810" s="14"/>
      <c r="C810" s="63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2.75" customHeight="1" x14ac:dyDescent="0.3">
      <c r="A811" s="14"/>
      <c r="B811" s="14"/>
      <c r="C811" s="63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2.75" customHeight="1" x14ac:dyDescent="0.3">
      <c r="A812" s="14"/>
      <c r="B812" s="14"/>
      <c r="C812" s="63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2.75" customHeight="1" x14ac:dyDescent="0.3">
      <c r="A813" s="14"/>
      <c r="B813" s="14"/>
      <c r="C813" s="63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2.75" customHeight="1" x14ac:dyDescent="0.3">
      <c r="A814" s="14"/>
      <c r="B814" s="14"/>
      <c r="C814" s="63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2.75" customHeight="1" x14ac:dyDescent="0.3">
      <c r="A815" s="14"/>
      <c r="B815" s="14"/>
      <c r="C815" s="63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2.75" customHeight="1" x14ac:dyDescent="0.3">
      <c r="A816" s="14"/>
      <c r="B816" s="14"/>
      <c r="C816" s="63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2.75" customHeight="1" x14ac:dyDescent="0.3">
      <c r="A817" s="14"/>
      <c r="B817" s="14"/>
      <c r="C817" s="63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2.75" customHeight="1" x14ac:dyDescent="0.3">
      <c r="A818" s="14"/>
      <c r="B818" s="14"/>
      <c r="C818" s="63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2.75" customHeight="1" x14ac:dyDescent="0.3">
      <c r="A819" s="14"/>
      <c r="B819" s="14"/>
      <c r="C819" s="63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2.75" customHeight="1" x14ac:dyDescent="0.3">
      <c r="A820" s="14"/>
      <c r="B820" s="14"/>
      <c r="C820" s="63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2.75" customHeight="1" x14ac:dyDescent="0.3">
      <c r="A821" s="14"/>
      <c r="B821" s="14"/>
      <c r="C821" s="63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2.75" customHeight="1" x14ac:dyDescent="0.3">
      <c r="A822" s="14"/>
      <c r="B822" s="14"/>
      <c r="C822" s="63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2.75" customHeight="1" x14ac:dyDescent="0.3">
      <c r="A823" s="14"/>
      <c r="B823" s="14"/>
      <c r="C823" s="63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2.75" customHeight="1" x14ac:dyDescent="0.3">
      <c r="A824" s="14"/>
      <c r="B824" s="14"/>
      <c r="C824" s="63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2.75" customHeight="1" x14ac:dyDescent="0.3">
      <c r="A825" s="14"/>
      <c r="B825" s="14"/>
      <c r="C825" s="63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2.75" customHeight="1" x14ac:dyDescent="0.3">
      <c r="A826" s="14"/>
      <c r="B826" s="14"/>
      <c r="C826" s="63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2.75" customHeight="1" x14ac:dyDescent="0.3">
      <c r="A827" s="14"/>
      <c r="B827" s="14"/>
      <c r="C827" s="63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2.75" customHeight="1" x14ac:dyDescent="0.3">
      <c r="A828" s="14"/>
      <c r="B828" s="14"/>
      <c r="C828" s="63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2.75" customHeight="1" x14ac:dyDescent="0.3">
      <c r="A829" s="14"/>
      <c r="B829" s="14"/>
      <c r="C829" s="63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2.75" customHeight="1" x14ac:dyDescent="0.3">
      <c r="A830" s="14"/>
      <c r="B830" s="14"/>
      <c r="C830" s="63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2.75" customHeight="1" x14ac:dyDescent="0.3">
      <c r="A831" s="14"/>
      <c r="B831" s="14"/>
      <c r="C831" s="63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2.75" customHeight="1" x14ac:dyDescent="0.3">
      <c r="A832" s="14"/>
      <c r="B832" s="14"/>
      <c r="C832" s="63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2.75" customHeight="1" x14ac:dyDescent="0.3">
      <c r="A833" s="14"/>
      <c r="B833" s="14"/>
      <c r="C833" s="63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2.75" customHeight="1" x14ac:dyDescent="0.3">
      <c r="A834" s="14"/>
      <c r="B834" s="14"/>
      <c r="C834" s="63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2.75" customHeight="1" x14ac:dyDescent="0.3">
      <c r="A835" s="14"/>
      <c r="B835" s="14"/>
      <c r="C835" s="63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2.75" customHeight="1" x14ac:dyDescent="0.3">
      <c r="A836" s="14"/>
      <c r="B836" s="14"/>
      <c r="C836" s="63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2.75" customHeight="1" x14ac:dyDescent="0.3">
      <c r="A837" s="14"/>
      <c r="B837" s="14"/>
      <c r="C837" s="63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2.75" customHeight="1" x14ac:dyDescent="0.3">
      <c r="A838" s="14"/>
      <c r="B838" s="14"/>
      <c r="C838" s="63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2.75" customHeight="1" x14ac:dyDescent="0.3">
      <c r="A839" s="14"/>
      <c r="B839" s="14"/>
      <c r="C839" s="63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2.75" customHeight="1" x14ac:dyDescent="0.3">
      <c r="A840" s="14"/>
      <c r="B840" s="14"/>
      <c r="C840" s="63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2.75" customHeight="1" x14ac:dyDescent="0.3">
      <c r="A841" s="14"/>
      <c r="B841" s="14"/>
      <c r="C841" s="63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2.75" customHeight="1" x14ac:dyDescent="0.3">
      <c r="A842" s="14"/>
      <c r="B842" s="14"/>
      <c r="C842" s="63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2.75" customHeight="1" x14ac:dyDescent="0.3">
      <c r="A843" s="14"/>
      <c r="B843" s="14"/>
      <c r="C843" s="63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2.75" customHeight="1" x14ac:dyDescent="0.3">
      <c r="A844" s="14"/>
      <c r="B844" s="14"/>
      <c r="C844" s="63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2.75" customHeight="1" x14ac:dyDescent="0.3">
      <c r="A845" s="14"/>
      <c r="B845" s="14"/>
      <c r="C845" s="63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2.75" customHeight="1" x14ac:dyDescent="0.3">
      <c r="A846" s="14"/>
      <c r="B846" s="14"/>
      <c r="C846" s="63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2.75" customHeight="1" x14ac:dyDescent="0.3">
      <c r="A847" s="14"/>
      <c r="B847" s="14"/>
      <c r="C847" s="63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2.75" customHeight="1" x14ac:dyDescent="0.3">
      <c r="A848" s="14"/>
      <c r="B848" s="14"/>
      <c r="C848" s="63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2.75" customHeight="1" x14ac:dyDescent="0.3">
      <c r="A849" s="14"/>
      <c r="B849" s="14"/>
      <c r="C849" s="63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2.75" customHeight="1" x14ac:dyDescent="0.3">
      <c r="A850" s="14"/>
      <c r="B850" s="14"/>
      <c r="C850" s="63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2.75" customHeight="1" x14ac:dyDescent="0.3">
      <c r="A851" s="14"/>
      <c r="B851" s="14"/>
      <c r="C851" s="63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2.75" customHeight="1" x14ac:dyDescent="0.3">
      <c r="A852" s="14"/>
      <c r="B852" s="14"/>
      <c r="C852" s="63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2.75" customHeight="1" x14ac:dyDescent="0.3">
      <c r="A853" s="14"/>
      <c r="B853" s="14"/>
      <c r="C853" s="63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2.75" customHeight="1" x14ac:dyDescent="0.3">
      <c r="A854" s="14"/>
      <c r="B854" s="14"/>
      <c r="C854" s="63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2.75" customHeight="1" x14ac:dyDescent="0.3">
      <c r="A855" s="14"/>
      <c r="B855" s="14"/>
      <c r="C855" s="63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2.75" customHeight="1" x14ac:dyDescent="0.3">
      <c r="A856" s="14"/>
      <c r="B856" s="14"/>
      <c r="C856" s="63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2.75" customHeight="1" x14ac:dyDescent="0.3">
      <c r="A857" s="14"/>
      <c r="B857" s="14"/>
      <c r="C857" s="63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2.75" customHeight="1" x14ac:dyDescent="0.3">
      <c r="A858" s="14"/>
      <c r="B858" s="14"/>
      <c r="C858" s="63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2.75" customHeight="1" x14ac:dyDescent="0.3">
      <c r="A859" s="14"/>
      <c r="B859" s="14"/>
      <c r="C859" s="63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2.75" customHeight="1" x14ac:dyDescent="0.3">
      <c r="A860" s="14"/>
      <c r="B860" s="14"/>
      <c r="C860" s="63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2.75" customHeight="1" x14ac:dyDescent="0.3">
      <c r="A861" s="14"/>
      <c r="B861" s="14"/>
      <c r="C861" s="63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2.75" customHeight="1" x14ac:dyDescent="0.3">
      <c r="A862" s="14"/>
      <c r="B862" s="14"/>
      <c r="C862" s="6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2.75" customHeight="1" x14ac:dyDescent="0.3">
      <c r="A863" s="14"/>
      <c r="B863" s="14"/>
      <c r="C863" s="63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2.75" customHeight="1" x14ac:dyDescent="0.3">
      <c r="A864" s="14"/>
      <c r="B864" s="14"/>
      <c r="C864" s="63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2.75" customHeight="1" x14ac:dyDescent="0.3">
      <c r="A865" s="14"/>
      <c r="B865" s="14"/>
      <c r="C865" s="63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2.75" customHeight="1" x14ac:dyDescent="0.3">
      <c r="A866" s="14"/>
      <c r="B866" s="14"/>
      <c r="C866" s="63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2.75" customHeight="1" x14ac:dyDescent="0.3">
      <c r="A867" s="14"/>
      <c r="B867" s="14"/>
      <c r="C867" s="63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2.75" customHeight="1" x14ac:dyDescent="0.3">
      <c r="A868" s="14"/>
      <c r="B868" s="14"/>
      <c r="C868" s="63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2.75" customHeight="1" x14ac:dyDescent="0.3">
      <c r="A869" s="14"/>
      <c r="B869" s="14"/>
      <c r="C869" s="63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2.75" customHeight="1" x14ac:dyDescent="0.3">
      <c r="A870" s="14"/>
      <c r="B870" s="14"/>
      <c r="C870" s="63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2.75" customHeight="1" x14ac:dyDescent="0.3">
      <c r="A871" s="14"/>
      <c r="B871" s="14"/>
      <c r="C871" s="63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2.75" customHeight="1" x14ac:dyDescent="0.3">
      <c r="A872" s="14"/>
      <c r="B872" s="14"/>
      <c r="C872" s="63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2.75" customHeight="1" x14ac:dyDescent="0.3">
      <c r="A873" s="14"/>
      <c r="B873" s="14"/>
      <c r="C873" s="63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2.75" customHeight="1" x14ac:dyDescent="0.3">
      <c r="A874" s="14"/>
      <c r="B874" s="14"/>
      <c r="C874" s="63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2.75" customHeight="1" x14ac:dyDescent="0.3">
      <c r="A875" s="14"/>
      <c r="B875" s="14"/>
      <c r="C875" s="63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2.75" customHeight="1" x14ac:dyDescent="0.3">
      <c r="A876" s="14"/>
      <c r="B876" s="14"/>
      <c r="C876" s="63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2.75" customHeight="1" x14ac:dyDescent="0.3">
      <c r="A877" s="14"/>
      <c r="B877" s="14"/>
      <c r="C877" s="63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2.75" customHeight="1" x14ac:dyDescent="0.3">
      <c r="A878" s="14"/>
      <c r="B878" s="14"/>
      <c r="C878" s="63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2.75" customHeight="1" x14ac:dyDescent="0.3">
      <c r="A879" s="14"/>
      <c r="B879" s="14"/>
      <c r="C879" s="63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2.75" customHeight="1" x14ac:dyDescent="0.3">
      <c r="A880" s="14"/>
      <c r="B880" s="14"/>
      <c r="C880" s="63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2.75" customHeight="1" x14ac:dyDescent="0.3">
      <c r="A881" s="14"/>
      <c r="B881" s="14"/>
      <c r="C881" s="63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2.75" customHeight="1" x14ac:dyDescent="0.3">
      <c r="A882" s="14"/>
      <c r="B882" s="14"/>
      <c r="C882" s="63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2.75" customHeight="1" x14ac:dyDescent="0.3">
      <c r="A883" s="14"/>
      <c r="B883" s="14"/>
      <c r="C883" s="63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2.75" customHeight="1" x14ac:dyDescent="0.3">
      <c r="A884" s="14"/>
      <c r="B884" s="14"/>
      <c r="C884" s="63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2.75" customHeight="1" x14ac:dyDescent="0.3">
      <c r="A885" s="14"/>
      <c r="B885" s="14"/>
      <c r="C885" s="63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2.75" customHeight="1" x14ac:dyDescent="0.3">
      <c r="A886" s="14"/>
      <c r="B886" s="14"/>
      <c r="C886" s="63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2.75" customHeight="1" x14ac:dyDescent="0.3">
      <c r="A887" s="14"/>
      <c r="B887" s="14"/>
      <c r="C887" s="63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2.75" customHeight="1" x14ac:dyDescent="0.3">
      <c r="A888" s="14"/>
      <c r="B888" s="14"/>
      <c r="C888" s="63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2.75" customHeight="1" x14ac:dyDescent="0.3">
      <c r="A889" s="14"/>
      <c r="B889" s="14"/>
      <c r="C889" s="63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2.75" customHeight="1" x14ac:dyDescent="0.3">
      <c r="A890" s="14"/>
      <c r="B890" s="14"/>
      <c r="C890" s="63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2.75" customHeight="1" x14ac:dyDescent="0.3">
      <c r="A891" s="14"/>
      <c r="B891" s="14"/>
      <c r="C891" s="63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2.75" customHeight="1" x14ac:dyDescent="0.3">
      <c r="A892" s="14"/>
      <c r="B892" s="14"/>
      <c r="C892" s="63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2.75" customHeight="1" x14ac:dyDescent="0.3">
      <c r="A893" s="14"/>
      <c r="B893" s="14"/>
      <c r="C893" s="63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2.75" customHeight="1" x14ac:dyDescent="0.3">
      <c r="A894" s="14"/>
      <c r="B894" s="14"/>
      <c r="C894" s="63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2.75" customHeight="1" x14ac:dyDescent="0.3">
      <c r="A895" s="14"/>
      <c r="B895" s="14"/>
      <c r="C895" s="63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2.75" customHeight="1" x14ac:dyDescent="0.3">
      <c r="A896" s="14"/>
      <c r="B896" s="14"/>
      <c r="C896" s="63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2.75" customHeight="1" x14ac:dyDescent="0.3">
      <c r="A897" s="14"/>
      <c r="B897" s="14"/>
      <c r="C897" s="63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2.75" customHeight="1" x14ac:dyDescent="0.3">
      <c r="A898" s="14"/>
      <c r="B898" s="14"/>
      <c r="C898" s="63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2.75" customHeight="1" x14ac:dyDescent="0.3">
      <c r="A899" s="14"/>
      <c r="B899" s="14"/>
      <c r="C899" s="63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2.75" customHeight="1" x14ac:dyDescent="0.3">
      <c r="A900" s="14"/>
      <c r="B900" s="14"/>
      <c r="C900" s="63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2.75" customHeight="1" x14ac:dyDescent="0.3">
      <c r="A901" s="14"/>
      <c r="B901" s="14"/>
      <c r="C901" s="63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2.75" customHeight="1" x14ac:dyDescent="0.3">
      <c r="A902" s="14"/>
      <c r="B902" s="14"/>
      <c r="C902" s="63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2.75" customHeight="1" x14ac:dyDescent="0.3">
      <c r="A903" s="14"/>
      <c r="B903" s="14"/>
      <c r="C903" s="63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2.75" customHeight="1" x14ac:dyDescent="0.3">
      <c r="A904" s="14"/>
      <c r="B904" s="14"/>
      <c r="C904" s="63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2.75" customHeight="1" x14ac:dyDescent="0.3">
      <c r="A905" s="14"/>
      <c r="B905" s="14"/>
      <c r="C905" s="63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2.75" customHeight="1" x14ac:dyDescent="0.3">
      <c r="A906" s="14"/>
      <c r="B906" s="14"/>
      <c r="C906" s="63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2.75" customHeight="1" x14ac:dyDescent="0.3">
      <c r="A907" s="14"/>
      <c r="B907" s="14"/>
      <c r="C907" s="63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2.75" customHeight="1" x14ac:dyDescent="0.3">
      <c r="A908" s="14"/>
      <c r="B908" s="14"/>
      <c r="C908" s="63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2.75" customHeight="1" x14ac:dyDescent="0.3">
      <c r="A909" s="14"/>
      <c r="B909" s="14"/>
      <c r="C909" s="63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2.75" customHeight="1" x14ac:dyDescent="0.3">
      <c r="A910" s="14"/>
      <c r="B910" s="14"/>
      <c r="C910" s="63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2.75" customHeight="1" x14ac:dyDescent="0.3">
      <c r="A911" s="14"/>
      <c r="B911" s="14"/>
      <c r="C911" s="63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2.75" customHeight="1" x14ac:dyDescent="0.3">
      <c r="A912" s="14"/>
      <c r="B912" s="14"/>
      <c r="C912" s="63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2.75" customHeight="1" x14ac:dyDescent="0.3">
      <c r="A913" s="14"/>
      <c r="B913" s="14"/>
      <c r="C913" s="63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2.75" customHeight="1" x14ac:dyDescent="0.3">
      <c r="A914" s="14"/>
      <c r="B914" s="14"/>
      <c r="C914" s="63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2.75" customHeight="1" x14ac:dyDescent="0.3">
      <c r="A915" s="14"/>
      <c r="B915" s="14"/>
      <c r="C915" s="63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2.75" customHeight="1" x14ac:dyDescent="0.3">
      <c r="A916" s="14"/>
      <c r="B916" s="14"/>
      <c r="C916" s="63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2.75" customHeight="1" x14ac:dyDescent="0.3">
      <c r="A917" s="14"/>
      <c r="B917" s="14"/>
      <c r="C917" s="63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2.75" customHeight="1" x14ac:dyDescent="0.3">
      <c r="A918" s="14"/>
      <c r="B918" s="14"/>
      <c r="C918" s="63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2.75" customHeight="1" x14ac:dyDescent="0.3">
      <c r="A919" s="14"/>
      <c r="B919" s="14"/>
      <c r="C919" s="63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2.75" customHeight="1" x14ac:dyDescent="0.3">
      <c r="A920" s="14"/>
      <c r="B920" s="14"/>
      <c r="C920" s="63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2.75" customHeight="1" x14ac:dyDescent="0.3">
      <c r="A921" s="14"/>
      <c r="B921" s="14"/>
      <c r="C921" s="63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2.75" customHeight="1" x14ac:dyDescent="0.3">
      <c r="A922" s="14"/>
      <c r="B922" s="14"/>
      <c r="C922" s="63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2.75" customHeight="1" x14ac:dyDescent="0.3">
      <c r="A923" s="14"/>
      <c r="B923" s="14"/>
      <c r="C923" s="63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2.75" customHeight="1" x14ac:dyDescent="0.3">
      <c r="A924" s="14"/>
      <c r="B924" s="14"/>
      <c r="C924" s="63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2.75" customHeight="1" x14ac:dyDescent="0.3">
      <c r="A925" s="14"/>
      <c r="B925" s="14"/>
      <c r="C925" s="63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2.75" customHeight="1" x14ac:dyDescent="0.3">
      <c r="A926" s="14"/>
      <c r="B926" s="14"/>
      <c r="C926" s="63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2.75" customHeight="1" x14ac:dyDescent="0.3">
      <c r="A927" s="14"/>
      <c r="B927" s="14"/>
      <c r="C927" s="63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2.75" customHeight="1" x14ac:dyDescent="0.3">
      <c r="A928" s="14"/>
      <c r="B928" s="14"/>
      <c r="C928" s="63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2.75" customHeight="1" x14ac:dyDescent="0.3">
      <c r="A929" s="14"/>
      <c r="B929" s="14"/>
      <c r="C929" s="63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2.75" customHeight="1" x14ac:dyDescent="0.3">
      <c r="A930" s="14"/>
      <c r="B930" s="14"/>
      <c r="C930" s="63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2.75" customHeight="1" x14ac:dyDescent="0.3">
      <c r="A931" s="14"/>
      <c r="B931" s="14"/>
      <c r="C931" s="63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2.75" customHeight="1" x14ac:dyDescent="0.3">
      <c r="A932" s="14"/>
      <c r="B932" s="14"/>
      <c r="C932" s="63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2.75" customHeight="1" x14ac:dyDescent="0.3">
      <c r="A933" s="14"/>
      <c r="B933" s="14"/>
      <c r="C933" s="63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2.75" customHeight="1" x14ac:dyDescent="0.3">
      <c r="A934" s="14"/>
      <c r="B934" s="14"/>
      <c r="C934" s="63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2.75" customHeight="1" x14ac:dyDescent="0.3">
      <c r="A935" s="14"/>
      <c r="B935" s="14"/>
      <c r="C935" s="63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2.75" customHeight="1" x14ac:dyDescent="0.3">
      <c r="A936" s="14"/>
      <c r="B936" s="14"/>
      <c r="C936" s="63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2.75" customHeight="1" x14ac:dyDescent="0.3">
      <c r="A937" s="14"/>
      <c r="B937" s="14"/>
      <c r="C937" s="63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2.75" customHeight="1" x14ac:dyDescent="0.3">
      <c r="A938" s="14"/>
      <c r="B938" s="14"/>
      <c r="C938" s="63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2.75" customHeight="1" x14ac:dyDescent="0.3">
      <c r="A939" s="14"/>
      <c r="B939" s="14"/>
      <c r="C939" s="63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2.75" customHeight="1" x14ac:dyDescent="0.3">
      <c r="A940" s="14"/>
      <c r="B940" s="14"/>
      <c r="C940" s="63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2.75" customHeight="1" x14ac:dyDescent="0.3">
      <c r="A941" s="14"/>
      <c r="B941" s="14"/>
      <c r="C941" s="63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2.75" customHeight="1" x14ac:dyDescent="0.3">
      <c r="A942" s="14"/>
      <c r="B942" s="14"/>
      <c r="C942" s="63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2.75" customHeight="1" x14ac:dyDescent="0.3">
      <c r="A943" s="14"/>
      <c r="B943" s="14"/>
      <c r="C943" s="63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2.75" customHeight="1" x14ac:dyDescent="0.3">
      <c r="A944" s="14"/>
      <c r="B944" s="14"/>
      <c r="C944" s="63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2.75" customHeight="1" x14ac:dyDescent="0.3">
      <c r="A945" s="14"/>
      <c r="B945" s="14"/>
      <c r="C945" s="63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2.75" customHeight="1" x14ac:dyDescent="0.3">
      <c r="A946" s="14"/>
      <c r="B946" s="14"/>
      <c r="C946" s="63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2.75" customHeight="1" x14ac:dyDescent="0.3">
      <c r="A947" s="14"/>
      <c r="B947" s="14"/>
      <c r="C947" s="63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2.75" customHeight="1" x14ac:dyDescent="0.3">
      <c r="A948" s="14"/>
      <c r="B948" s="14"/>
      <c r="C948" s="63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2.75" customHeight="1" x14ac:dyDescent="0.3">
      <c r="A949" s="14"/>
      <c r="B949" s="14"/>
      <c r="C949" s="63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2.75" customHeight="1" x14ac:dyDescent="0.3">
      <c r="A950" s="14"/>
      <c r="B950" s="14"/>
      <c r="C950" s="63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2.75" customHeight="1" x14ac:dyDescent="0.3">
      <c r="A951" s="14"/>
      <c r="B951" s="14"/>
      <c r="C951" s="63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2.75" customHeight="1" x14ac:dyDescent="0.3">
      <c r="A952" s="14"/>
      <c r="B952" s="14"/>
      <c r="C952" s="63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2.75" customHeight="1" x14ac:dyDescent="0.3">
      <c r="A953" s="14"/>
      <c r="B953" s="14"/>
      <c r="C953" s="63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2.75" customHeight="1" x14ac:dyDescent="0.3">
      <c r="A954" s="14"/>
      <c r="B954" s="14"/>
      <c r="C954" s="63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2.75" customHeight="1" x14ac:dyDescent="0.3">
      <c r="A955" s="14"/>
      <c r="B955" s="14"/>
      <c r="C955" s="63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2.75" customHeight="1" x14ac:dyDescent="0.3">
      <c r="A956" s="14"/>
      <c r="B956" s="14"/>
      <c r="C956" s="63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2.75" customHeight="1" x14ac:dyDescent="0.3">
      <c r="A957" s="14"/>
      <c r="B957" s="14"/>
      <c r="C957" s="63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2.75" customHeight="1" x14ac:dyDescent="0.3">
      <c r="A958" s="14"/>
      <c r="B958" s="14"/>
      <c r="C958" s="63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2.75" customHeight="1" x14ac:dyDescent="0.3">
      <c r="A959" s="14"/>
      <c r="B959" s="14"/>
      <c r="C959" s="63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2.75" customHeight="1" x14ac:dyDescent="0.3">
      <c r="A960" s="14"/>
      <c r="B960" s="14"/>
      <c r="C960" s="63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2.75" customHeight="1" x14ac:dyDescent="0.3">
      <c r="A961" s="14"/>
      <c r="B961" s="14"/>
      <c r="C961" s="63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2.75" customHeight="1" x14ac:dyDescent="0.3">
      <c r="A962" s="14"/>
      <c r="B962" s="14"/>
      <c r="C962" s="63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2.75" customHeight="1" x14ac:dyDescent="0.3">
      <c r="A963" s="14"/>
      <c r="B963" s="14"/>
      <c r="C963" s="63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2.75" customHeight="1" x14ac:dyDescent="0.3">
      <c r="A964" s="14"/>
      <c r="B964" s="14"/>
      <c r="C964" s="6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2.75" customHeight="1" x14ac:dyDescent="0.3">
      <c r="A965" s="14"/>
      <c r="B965" s="14"/>
      <c r="C965" s="63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2.75" customHeight="1" x14ac:dyDescent="0.3">
      <c r="A966" s="14"/>
      <c r="B966" s="14"/>
      <c r="C966" s="63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2.75" customHeight="1" x14ac:dyDescent="0.3">
      <c r="A967" s="14"/>
      <c r="B967" s="14"/>
      <c r="C967" s="63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2.75" customHeight="1" x14ac:dyDescent="0.3">
      <c r="A968" s="14"/>
      <c r="B968" s="14"/>
      <c r="C968" s="63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2.75" customHeight="1" x14ac:dyDescent="0.3">
      <c r="A969" s="14"/>
      <c r="B969" s="14"/>
      <c r="C969" s="63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2.75" customHeight="1" x14ac:dyDescent="0.3">
      <c r="A970" s="14"/>
      <c r="B970" s="14"/>
      <c r="C970" s="63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2.75" customHeight="1" x14ac:dyDescent="0.3">
      <c r="A971" s="14"/>
      <c r="B971" s="14"/>
      <c r="C971" s="63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2.75" customHeight="1" x14ac:dyDescent="0.3">
      <c r="A972" s="14"/>
      <c r="B972" s="14"/>
      <c r="C972" s="63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2.75" customHeight="1" x14ac:dyDescent="0.3">
      <c r="A973" s="14"/>
      <c r="B973" s="14"/>
      <c r="C973" s="63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2.75" customHeight="1" x14ac:dyDescent="0.3">
      <c r="A974" s="14"/>
      <c r="B974" s="14"/>
      <c r="C974" s="63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2.75" customHeight="1" x14ac:dyDescent="0.3">
      <c r="A975" s="14"/>
      <c r="B975" s="14"/>
      <c r="C975" s="63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2.75" customHeight="1" x14ac:dyDescent="0.3">
      <c r="A976" s="14"/>
      <c r="B976" s="14"/>
      <c r="C976" s="63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2.75" customHeight="1" x14ac:dyDescent="0.3">
      <c r="A977" s="14"/>
      <c r="B977" s="14"/>
      <c r="C977" s="63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2.75" customHeight="1" x14ac:dyDescent="0.3">
      <c r="A978" s="14"/>
      <c r="B978" s="14"/>
      <c r="C978" s="63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2.75" customHeight="1" x14ac:dyDescent="0.3">
      <c r="A979" s="14"/>
      <c r="B979" s="14"/>
      <c r="C979" s="63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2.75" customHeight="1" x14ac:dyDescent="0.3">
      <c r="A980" s="14"/>
      <c r="B980" s="14"/>
      <c r="C980" s="63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2.75" customHeight="1" x14ac:dyDescent="0.3">
      <c r="A981" s="14"/>
      <c r="B981" s="14"/>
      <c r="C981" s="63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2.75" customHeight="1" x14ac:dyDescent="0.3">
      <c r="A982" s="14"/>
      <c r="B982" s="14"/>
      <c r="C982" s="63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2.75" customHeight="1" x14ac:dyDescent="0.3">
      <c r="A983" s="14"/>
      <c r="B983" s="14"/>
      <c r="C983" s="63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2.75" customHeight="1" x14ac:dyDescent="0.3">
      <c r="A984" s="14"/>
      <c r="B984" s="14"/>
      <c r="C984" s="63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2.75" customHeight="1" x14ac:dyDescent="0.3">
      <c r="A985" s="14"/>
      <c r="B985" s="14"/>
      <c r="C985" s="63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2.75" customHeight="1" x14ac:dyDescent="0.3">
      <c r="A986" s="14"/>
      <c r="B986" s="14"/>
      <c r="C986" s="63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2.75" customHeight="1" x14ac:dyDescent="0.3">
      <c r="A987" s="14"/>
      <c r="B987" s="14"/>
      <c r="C987" s="63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2.75" customHeight="1" x14ac:dyDescent="0.3">
      <c r="A988" s="14"/>
      <c r="B988" s="14"/>
      <c r="C988" s="63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2.75" customHeight="1" x14ac:dyDescent="0.3">
      <c r="A989" s="14"/>
      <c r="B989" s="14"/>
      <c r="C989" s="63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2.75" customHeight="1" x14ac:dyDescent="0.3">
      <c r="A990" s="14"/>
      <c r="B990" s="14"/>
      <c r="C990" s="63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2.75" customHeight="1" x14ac:dyDescent="0.3">
      <c r="A991" s="14"/>
      <c r="B991" s="14"/>
      <c r="C991" s="63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2.75" customHeight="1" x14ac:dyDescent="0.3">
      <c r="A992" s="14"/>
      <c r="B992" s="14"/>
      <c r="C992" s="63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2.75" customHeight="1" x14ac:dyDescent="0.3">
      <c r="A993" s="14"/>
      <c r="B993" s="14"/>
      <c r="C993" s="63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2.75" customHeight="1" x14ac:dyDescent="0.3">
      <c r="A994" s="14"/>
      <c r="B994" s="14"/>
      <c r="C994" s="63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2.75" customHeight="1" x14ac:dyDescent="0.3">
      <c r="A995" s="14"/>
      <c r="B995" s="14"/>
      <c r="C995" s="63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2.75" customHeight="1" x14ac:dyDescent="0.3">
      <c r="A996" s="14"/>
      <c r="B996" s="14"/>
      <c r="C996" s="63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2.75" customHeight="1" x14ac:dyDescent="0.3">
      <c r="A997" s="14"/>
      <c r="B997" s="14"/>
      <c r="C997" s="63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2.75" customHeight="1" x14ac:dyDescent="0.3">
      <c r="A998" s="14"/>
      <c r="B998" s="14"/>
      <c r="C998" s="63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2.75" customHeight="1" x14ac:dyDescent="0.3">
      <c r="A999" s="14"/>
      <c r="B999" s="14"/>
      <c r="C999" s="63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2.75" customHeight="1" x14ac:dyDescent="0.3">
      <c r="A1000" s="14"/>
      <c r="B1000" s="14"/>
      <c r="C1000" s="63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13">
    <mergeCell ref="B177:G177"/>
    <mergeCell ref="B178:G178"/>
    <mergeCell ref="B179:G179"/>
    <mergeCell ref="B180:G180"/>
    <mergeCell ref="B181:G181"/>
    <mergeCell ref="B182:G182"/>
    <mergeCell ref="B183:G183"/>
    <mergeCell ref="B162:G162"/>
    <mergeCell ref="B163:G163"/>
    <mergeCell ref="B164:G164"/>
    <mergeCell ref="B165:G165"/>
    <mergeCell ref="B166:G166"/>
    <mergeCell ref="B167:H167"/>
    <mergeCell ref="B168:H168"/>
    <mergeCell ref="B175:G175"/>
    <mergeCell ref="B176:G176"/>
    <mergeCell ref="B151:G151"/>
    <mergeCell ref="B152:G152"/>
    <mergeCell ref="B153:H153"/>
    <mergeCell ref="B154:H154"/>
    <mergeCell ref="B157:G157"/>
    <mergeCell ref="B158:G158"/>
    <mergeCell ref="B159:G159"/>
    <mergeCell ref="B160:G160"/>
    <mergeCell ref="B161:G161"/>
    <mergeCell ref="B139:H139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98:G198"/>
    <mergeCell ref="B199:G199"/>
    <mergeCell ref="B200:H200"/>
    <mergeCell ref="B184:G184"/>
    <mergeCell ref="B185:H185"/>
    <mergeCell ref="B186:G186"/>
    <mergeCell ref="B187:H187"/>
    <mergeCell ref="B190:G190"/>
    <mergeCell ref="B191:G191"/>
    <mergeCell ref="B192:G192"/>
    <mergeCell ref="B113:G113"/>
    <mergeCell ref="B114:G114"/>
    <mergeCell ref="B115:G115"/>
    <mergeCell ref="B116:G116"/>
    <mergeCell ref="B193:G193"/>
    <mergeCell ref="B194:G194"/>
    <mergeCell ref="B195:G195"/>
    <mergeCell ref="B196:G196"/>
    <mergeCell ref="B197:G197"/>
    <mergeCell ref="B117:G117"/>
    <mergeCell ref="B118:G118"/>
    <mergeCell ref="B119:G119"/>
    <mergeCell ref="B120:H120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H138"/>
    <mergeCell ref="B90:G90"/>
    <mergeCell ref="B91:G91"/>
    <mergeCell ref="B92:G92"/>
    <mergeCell ref="B93:G93"/>
    <mergeCell ref="B94:G94"/>
    <mergeCell ref="B95:G95"/>
    <mergeCell ref="B110:G110"/>
    <mergeCell ref="B111:G111"/>
    <mergeCell ref="B112:G112"/>
    <mergeCell ref="B67:G67"/>
    <mergeCell ref="B68:G68"/>
    <mergeCell ref="B69:G69"/>
    <mergeCell ref="B70:G70"/>
    <mergeCell ref="B71:G71"/>
    <mergeCell ref="B86:G86"/>
    <mergeCell ref="B87:G87"/>
    <mergeCell ref="B88:G88"/>
    <mergeCell ref="B89:G89"/>
    <mergeCell ref="B48:G48"/>
    <mergeCell ref="B49:G49"/>
    <mergeCell ref="B51:H51"/>
    <mergeCell ref="B50:G50"/>
    <mergeCell ref="B62:G62"/>
    <mergeCell ref="B63:G63"/>
    <mergeCell ref="B64:G64"/>
    <mergeCell ref="B65:G65"/>
    <mergeCell ref="B66:G66"/>
    <mergeCell ref="B31:G31"/>
    <mergeCell ref="B32:H32"/>
    <mergeCell ref="B41:G41"/>
    <mergeCell ref="B42:G42"/>
    <mergeCell ref="B43:G43"/>
    <mergeCell ref="B44:G44"/>
    <mergeCell ref="B45:G45"/>
    <mergeCell ref="B46:G46"/>
    <mergeCell ref="B47:G47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</mergeCells>
  <printOptions horizontalCentered="1"/>
  <pageMargins left="0.39370078740157483" right="0.39370078740157483" top="1.1023622047244095" bottom="0.55118110236220474" header="0" footer="0"/>
  <pageSetup paperSize="9" scale="67" orientation="portrait"/>
  <headerFooter>
    <oddHeader>&amp;CREPÚBLICA FEDERATIVA DO BRASIL MINISTÉRIO DA EDUCAÇÃO SECRETARIA DE EDUCAÇÃO TECNOLÓGICA INSTITUTO FEDERAL DE EDUCAÇÃO, CIÊNCIA E TEC. DO AMAZONAS PRÓ-REITORIA DE DES. INSTITUCIONAL DIRETORIA OBRAS E SERV. DE ENGENHARIA</oddHeader>
    <oddFooter>&amp;CReitoria - Avenida Ferreira Pena, 1.109, Centro - Manaus/AM - CEP: 69.025-010. E-mail: enge.ifam@ifam.edu.br Tel: (92) 3306-0045&amp;RPágina &amp;P 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Z862"/>
  <sheetViews>
    <sheetView tabSelected="1" view="pageBreakPreview" topLeftCell="A262" zoomScale="80" zoomScaleNormal="80" zoomScaleSheetLayoutView="80" workbookViewId="0">
      <selection activeCell="J263" sqref="J263:J304"/>
    </sheetView>
  </sheetViews>
  <sheetFormatPr defaultColWidth="14.44140625" defaultRowHeight="15" customHeight="1" x14ac:dyDescent="0.3"/>
  <cols>
    <col min="1" max="1" width="9.109375" customWidth="1"/>
    <col min="2" max="2" width="13" customWidth="1"/>
    <col min="3" max="3" width="71" customWidth="1"/>
    <col min="4" max="4" width="20.6640625" customWidth="1"/>
    <col min="5" max="5" width="22.44140625" bestFit="1" customWidth="1"/>
    <col min="6" max="6" width="13.109375" customWidth="1"/>
    <col min="7" max="7" width="14.5546875" customWidth="1"/>
    <col min="8" max="8" width="17.88671875" customWidth="1"/>
    <col min="9" max="9" width="10.109375" customWidth="1"/>
    <col min="10" max="10" width="16.5546875" customWidth="1"/>
    <col min="11" max="15" width="9.109375" customWidth="1"/>
    <col min="16" max="26" width="8.5546875" customWidth="1"/>
  </cols>
  <sheetData>
    <row r="1" spans="1:26" ht="14.25" customHeight="1" x14ac:dyDescent="0.3">
      <c r="A1" s="99"/>
      <c r="B1" s="542" t="s">
        <v>184</v>
      </c>
      <c r="C1" s="543"/>
      <c r="D1" s="543"/>
      <c r="E1" s="543"/>
      <c r="F1" s="543"/>
      <c r="G1" s="543"/>
      <c r="H1" s="543"/>
      <c r="I1" s="543"/>
      <c r="J1" s="10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4.25" customHeight="1" x14ac:dyDescent="0.3">
      <c r="A2" s="99"/>
      <c r="B2" s="542" t="s">
        <v>185</v>
      </c>
      <c r="C2" s="543"/>
      <c r="D2" s="543"/>
      <c r="E2" s="543"/>
      <c r="F2" s="543"/>
      <c r="G2" s="543"/>
      <c r="H2" s="543"/>
      <c r="I2" s="543"/>
      <c r="J2" s="100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4.25" customHeight="1" x14ac:dyDescent="0.3">
      <c r="A3" s="99"/>
      <c r="B3" s="542" t="s">
        <v>186</v>
      </c>
      <c r="C3" s="543"/>
      <c r="D3" s="543"/>
      <c r="E3" s="543"/>
      <c r="F3" s="543"/>
      <c r="G3" s="543"/>
      <c r="H3" s="543"/>
      <c r="I3" s="543"/>
      <c r="J3" s="100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4.25" customHeight="1" x14ac:dyDescent="0.3">
      <c r="A4" s="99"/>
      <c r="B4" s="542" t="s">
        <v>187</v>
      </c>
      <c r="C4" s="543"/>
      <c r="D4" s="543"/>
      <c r="E4" s="543"/>
      <c r="F4" s="543"/>
      <c r="G4" s="543"/>
      <c r="H4" s="543"/>
      <c r="I4" s="543"/>
      <c r="J4" s="100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14.25" customHeight="1" x14ac:dyDescent="0.3">
      <c r="A5" s="99"/>
      <c r="B5" s="542" t="s">
        <v>345</v>
      </c>
      <c r="C5" s="543"/>
      <c r="D5" s="543"/>
      <c r="E5" s="543"/>
      <c r="F5" s="543"/>
      <c r="G5" s="543"/>
      <c r="H5" s="543"/>
      <c r="I5" s="543"/>
      <c r="J5" s="100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14.25" customHeight="1" x14ac:dyDescent="0.3">
      <c r="A6" s="99"/>
      <c r="B6" s="544" t="s">
        <v>346</v>
      </c>
      <c r="C6" s="545"/>
      <c r="D6" s="545"/>
      <c r="E6" s="545"/>
      <c r="F6" s="545"/>
      <c r="G6" s="545"/>
      <c r="H6" s="545"/>
      <c r="I6" s="545"/>
      <c r="J6" s="100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4.25" customHeight="1" x14ac:dyDescent="0.3">
      <c r="A7" s="99"/>
      <c r="B7" s="253"/>
      <c r="C7" s="547"/>
      <c r="D7" s="547"/>
      <c r="E7" s="547"/>
      <c r="F7" s="547"/>
      <c r="G7" s="547"/>
      <c r="H7" s="547"/>
      <c r="I7" s="548"/>
      <c r="J7" s="250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14.25" customHeight="1" x14ac:dyDescent="0.3">
      <c r="A8" s="99"/>
      <c r="B8" s="253"/>
      <c r="C8" s="549"/>
      <c r="D8" s="549"/>
      <c r="E8" s="549"/>
      <c r="F8" s="549"/>
      <c r="G8" s="549"/>
      <c r="H8" s="549"/>
      <c r="I8" s="550"/>
      <c r="J8" s="100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19.5" customHeight="1" x14ac:dyDescent="0.3">
      <c r="A9" s="99"/>
      <c r="B9" s="253"/>
      <c r="C9" s="551" t="s">
        <v>387</v>
      </c>
      <c r="D9" s="551"/>
      <c r="E9" s="551"/>
      <c r="F9" s="551"/>
      <c r="G9" s="551"/>
      <c r="H9" s="551"/>
      <c r="I9" s="551"/>
      <c r="J9" s="101"/>
      <c r="K9" s="101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14.25" customHeight="1" x14ac:dyDescent="0.3">
      <c r="A10" s="99"/>
      <c r="B10" s="253"/>
      <c r="C10" s="546" t="s">
        <v>370</v>
      </c>
      <c r="D10" s="546"/>
      <c r="E10" s="546"/>
      <c r="F10" s="546"/>
      <c r="G10" s="546"/>
      <c r="H10" s="546"/>
      <c r="I10" s="546"/>
      <c r="J10" s="516"/>
      <c r="K10" s="517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15" customHeight="1" thickBot="1" x14ac:dyDescent="0.35">
      <c r="A11" s="99"/>
      <c r="B11" s="253"/>
      <c r="C11" s="524"/>
      <c r="D11" s="524"/>
      <c r="E11" s="524"/>
      <c r="F11" s="524"/>
      <c r="G11" s="524"/>
      <c r="H11" s="524"/>
      <c r="I11" s="525"/>
      <c r="J11" s="100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30" customHeight="1" thickBot="1" x14ac:dyDescent="0.35">
      <c r="A12" s="103"/>
      <c r="B12" s="518" t="s">
        <v>189</v>
      </c>
      <c r="C12" s="519"/>
      <c r="D12" s="519"/>
      <c r="E12" s="519"/>
      <c r="F12" s="519"/>
      <c r="G12" s="519"/>
      <c r="H12" s="519"/>
      <c r="I12" s="520"/>
      <c r="J12" s="104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</row>
    <row r="13" spans="1:26" s="264" customFormat="1" ht="12.6" customHeight="1" thickTop="1" thickBot="1" x14ac:dyDescent="0.35">
      <c r="A13" s="103"/>
      <c r="B13" s="106" t="s">
        <v>375</v>
      </c>
      <c r="C13" s="521" t="s">
        <v>376</v>
      </c>
      <c r="D13" s="522"/>
      <c r="E13" s="522"/>
      <c r="F13" s="522"/>
      <c r="G13" s="522"/>
      <c r="H13" s="522"/>
      <c r="I13" s="523"/>
      <c r="J13" s="248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</row>
    <row r="14" spans="1:26" s="264" customFormat="1" ht="40.799999999999997" thickTop="1" thickBot="1" x14ac:dyDescent="0.35">
      <c r="A14" s="103"/>
      <c r="B14" s="265" t="s">
        <v>382</v>
      </c>
      <c r="C14" s="289" t="s">
        <v>377</v>
      </c>
      <c r="D14" s="266"/>
      <c r="E14" s="267"/>
      <c r="F14" s="268"/>
      <c r="G14" s="269"/>
      <c r="H14" s="270">
        <v>9.6999999999999993</v>
      </c>
      <c r="I14" s="290" t="s">
        <v>111</v>
      </c>
      <c r="J14" s="248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spans="1:26" s="264" customFormat="1" ht="27.6" thickTop="1" thickBot="1" x14ac:dyDescent="0.35">
      <c r="A15" s="103"/>
      <c r="B15" s="265" t="s">
        <v>383</v>
      </c>
      <c r="C15" s="289" t="s">
        <v>378</v>
      </c>
      <c r="D15" s="266"/>
      <c r="E15" s="267"/>
      <c r="F15" s="268"/>
      <c r="G15" s="269"/>
      <c r="H15" s="270">
        <v>800</v>
      </c>
      <c r="I15" s="290" t="s">
        <v>111</v>
      </c>
      <c r="J15" s="248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6" s="264" customFormat="1" ht="27.6" thickTop="1" thickBot="1" x14ac:dyDescent="0.35">
      <c r="A16" s="103"/>
      <c r="B16" s="265" t="s">
        <v>384</v>
      </c>
      <c r="C16" s="289" t="s">
        <v>379</v>
      </c>
      <c r="D16" s="266"/>
      <c r="E16" s="267"/>
      <c r="F16" s="268"/>
      <c r="G16" s="269"/>
      <c r="H16" s="270">
        <v>1184</v>
      </c>
      <c r="I16" s="290" t="s">
        <v>114</v>
      </c>
      <c r="J16" s="248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s="264" customFormat="1" ht="27" thickTop="1" x14ac:dyDescent="0.3">
      <c r="A17" s="103"/>
      <c r="B17" s="265" t="s">
        <v>385</v>
      </c>
      <c r="C17" s="291" t="s">
        <v>380</v>
      </c>
      <c r="D17" s="292"/>
      <c r="E17" s="293"/>
      <c r="F17" s="294"/>
      <c r="G17" s="295"/>
      <c r="H17" s="270">
        <v>800</v>
      </c>
      <c r="I17" s="296" t="s">
        <v>111</v>
      </c>
      <c r="J17" s="248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s="264" customFormat="1" ht="40.200000000000003" thickBot="1" x14ac:dyDescent="0.35">
      <c r="A18" s="103"/>
      <c r="B18" s="297" t="s">
        <v>386</v>
      </c>
      <c r="C18" s="298" t="s">
        <v>381</v>
      </c>
      <c r="D18" s="299"/>
      <c r="E18" s="300"/>
      <c r="F18" s="301"/>
      <c r="G18" s="302"/>
      <c r="H18" s="303">
        <v>40</v>
      </c>
      <c r="I18" s="304" t="s">
        <v>121</v>
      </c>
      <c r="J18" s="248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12" customHeight="1" thickTop="1" thickBot="1" x14ac:dyDescent="0.35">
      <c r="A19" s="103"/>
      <c r="B19" s="105">
        <v>12</v>
      </c>
      <c r="C19" s="526" t="s">
        <v>30</v>
      </c>
      <c r="D19" s="527"/>
      <c r="E19" s="527"/>
      <c r="F19" s="527"/>
      <c r="G19" s="527"/>
      <c r="H19" s="527"/>
      <c r="I19" s="528"/>
      <c r="J19" s="248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s="251" customFormat="1" ht="12.6" customHeight="1" thickTop="1" thickBot="1" x14ac:dyDescent="0.35">
      <c r="A20" s="103"/>
      <c r="B20" s="105" t="s">
        <v>504</v>
      </c>
      <c r="C20" s="521" t="s">
        <v>361</v>
      </c>
      <c r="D20" s="522"/>
      <c r="E20" s="522"/>
      <c r="F20" s="522"/>
      <c r="G20" s="522"/>
      <c r="H20" s="522"/>
      <c r="I20" s="52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s="251" customFormat="1" ht="15.6" customHeight="1" thickTop="1" x14ac:dyDescent="0.3">
      <c r="A21" s="103"/>
      <c r="B21" s="532">
        <v>95240</v>
      </c>
      <c r="C21" s="529" t="s">
        <v>462</v>
      </c>
      <c r="D21" s="507" t="s">
        <v>351</v>
      </c>
      <c r="E21" s="329" t="s">
        <v>400</v>
      </c>
      <c r="F21" s="326">
        <v>44.82</v>
      </c>
      <c r="G21" s="571">
        <f>SUM(F21:F31)</f>
        <v>195.42000000000004</v>
      </c>
      <c r="H21" s="567">
        <f>SUM(G21:G77)</f>
        <v>3293.26</v>
      </c>
      <c r="I21" s="564" t="s">
        <v>111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s="273" customFormat="1" ht="15.6" customHeight="1" x14ac:dyDescent="0.3">
      <c r="A22" s="103"/>
      <c r="B22" s="533"/>
      <c r="C22" s="530"/>
      <c r="D22" s="505"/>
      <c r="E22" s="330" t="s">
        <v>401</v>
      </c>
      <c r="F22" s="327">
        <v>14.55</v>
      </c>
      <c r="G22" s="535"/>
      <c r="H22" s="568"/>
      <c r="I22" s="565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s="273" customFormat="1" ht="15.6" customHeight="1" x14ac:dyDescent="0.3">
      <c r="A23" s="103"/>
      <c r="B23" s="533"/>
      <c r="C23" s="530"/>
      <c r="D23" s="505"/>
      <c r="E23" s="330" t="s">
        <v>402</v>
      </c>
      <c r="F23" s="327">
        <v>39.86</v>
      </c>
      <c r="G23" s="535"/>
      <c r="H23" s="568"/>
      <c r="I23" s="565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s="273" customFormat="1" ht="15.6" customHeight="1" x14ac:dyDescent="0.3">
      <c r="A24" s="103"/>
      <c r="B24" s="533"/>
      <c r="C24" s="530"/>
      <c r="D24" s="505"/>
      <c r="E24" s="330" t="s">
        <v>403</v>
      </c>
      <c r="F24" s="328">
        <v>14.5</v>
      </c>
      <c r="G24" s="535"/>
      <c r="H24" s="568"/>
      <c r="I24" s="565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s="273" customFormat="1" ht="15.6" customHeight="1" x14ac:dyDescent="0.3">
      <c r="A25" s="103"/>
      <c r="B25" s="533"/>
      <c r="C25" s="530"/>
      <c r="D25" s="505"/>
      <c r="E25" s="330" t="s">
        <v>404</v>
      </c>
      <c r="F25" s="327">
        <v>14.58</v>
      </c>
      <c r="G25" s="535"/>
      <c r="H25" s="568"/>
      <c r="I25" s="565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s="273" customFormat="1" ht="15.6" customHeight="1" x14ac:dyDescent="0.3">
      <c r="A26" s="103"/>
      <c r="B26" s="533"/>
      <c r="C26" s="530"/>
      <c r="D26" s="505"/>
      <c r="E26" s="330" t="s">
        <v>406</v>
      </c>
      <c r="F26" s="327">
        <v>14.48</v>
      </c>
      <c r="G26" s="535"/>
      <c r="H26" s="568"/>
      <c r="I26" s="565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s="273" customFormat="1" ht="15.6" customHeight="1" x14ac:dyDescent="0.3">
      <c r="A27" s="103"/>
      <c r="B27" s="533"/>
      <c r="C27" s="530"/>
      <c r="D27" s="505"/>
      <c r="E27" s="330" t="s">
        <v>399</v>
      </c>
      <c r="F27" s="327">
        <f>12.28+11.13+15.08</f>
        <v>38.49</v>
      </c>
      <c r="G27" s="535"/>
      <c r="H27" s="568"/>
      <c r="I27" s="565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</row>
    <row r="28" spans="1:26" s="251" customFormat="1" ht="15.6" customHeight="1" x14ac:dyDescent="0.3">
      <c r="A28" s="103"/>
      <c r="B28" s="533"/>
      <c r="C28" s="530"/>
      <c r="D28" s="505"/>
      <c r="E28" s="330" t="s">
        <v>407</v>
      </c>
      <c r="F28" s="328">
        <v>4.21</v>
      </c>
      <c r="G28" s="535"/>
      <c r="H28" s="568"/>
      <c r="I28" s="565"/>
      <c r="J28" s="248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1:26" s="251" customFormat="1" ht="15.6" customHeight="1" x14ac:dyDescent="0.3">
      <c r="A29" s="103"/>
      <c r="B29" s="533"/>
      <c r="C29" s="530"/>
      <c r="D29" s="505"/>
      <c r="E29" s="330" t="s">
        <v>405</v>
      </c>
      <c r="F29" s="328">
        <v>2.86</v>
      </c>
      <c r="G29" s="535"/>
      <c r="H29" s="568"/>
      <c r="I29" s="565"/>
      <c r="J29" s="248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</row>
    <row r="30" spans="1:26" s="279" customFormat="1" ht="15.6" customHeight="1" x14ac:dyDescent="0.3">
      <c r="A30" s="103"/>
      <c r="B30" s="533"/>
      <c r="C30" s="530"/>
      <c r="D30" s="505"/>
      <c r="E30" s="330" t="s">
        <v>409</v>
      </c>
      <c r="F30" s="328">
        <v>2.86</v>
      </c>
      <c r="G30" s="535"/>
      <c r="H30" s="568"/>
      <c r="I30" s="565"/>
      <c r="J30" s="248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</row>
    <row r="31" spans="1:26" s="279" customFormat="1" ht="15.6" customHeight="1" x14ac:dyDescent="0.3">
      <c r="A31" s="103"/>
      <c r="B31" s="533"/>
      <c r="C31" s="530"/>
      <c r="D31" s="506"/>
      <c r="E31" s="330" t="s">
        <v>408</v>
      </c>
      <c r="F31" s="328">
        <f>4.12+0.09</f>
        <v>4.21</v>
      </c>
      <c r="G31" s="535"/>
      <c r="H31" s="568"/>
      <c r="I31" s="565"/>
      <c r="J31" s="248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</row>
    <row r="32" spans="1:26" s="318" customFormat="1" ht="15.6" customHeight="1" x14ac:dyDescent="0.3">
      <c r="A32" s="103"/>
      <c r="B32" s="533"/>
      <c r="C32" s="530"/>
      <c r="D32" s="501" t="s">
        <v>352</v>
      </c>
      <c r="E32" s="333" t="s">
        <v>428</v>
      </c>
      <c r="F32" s="333">
        <v>30.1</v>
      </c>
      <c r="G32" s="503">
        <f>SUM(F32:F41)</f>
        <v>187.39999999999998</v>
      </c>
      <c r="H32" s="568"/>
      <c r="I32" s="565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</row>
    <row r="33" spans="1:26" s="318" customFormat="1" ht="15.6" customHeight="1" x14ac:dyDescent="0.3">
      <c r="A33" s="103"/>
      <c r="B33" s="533"/>
      <c r="C33" s="530"/>
      <c r="D33" s="501"/>
      <c r="E33" s="330" t="s">
        <v>429</v>
      </c>
      <c r="F33" s="327">
        <v>3.36</v>
      </c>
      <c r="G33" s="503"/>
      <c r="H33" s="568"/>
      <c r="I33" s="565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</row>
    <row r="34" spans="1:26" s="318" customFormat="1" ht="15.6" customHeight="1" x14ac:dyDescent="0.3">
      <c r="A34" s="103"/>
      <c r="B34" s="533"/>
      <c r="C34" s="530"/>
      <c r="D34" s="501"/>
      <c r="E34" s="330" t="s">
        <v>430</v>
      </c>
      <c r="F34" s="327">
        <v>3.36</v>
      </c>
      <c r="G34" s="503"/>
      <c r="H34" s="568"/>
      <c r="I34" s="565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s="318" customFormat="1" ht="15.6" customHeight="1" x14ac:dyDescent="0.3">
      <c r="A35" s="103"/>
      <c r="B35" s="533"/>
      <c r="C35" s="530"/>
      <c r="D35" s="501"/>
      <c r="E35" s="330" t="s">
        <v>431</v>
      </c>
      <c r="F35" s="327">
        <v>24.88</v>
      </c>
      <c r="G35" s="503"/>
      <c r="H35" s="568"/>
      <c r="I35" s="565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s="318" customFormat="1" ht="15.6" customHeight="1" x14ac:dyDescent="0.3">
      <c r="A36" s="103"/>
      <c r="B36" s="533"/>
      <c r="C36" s="530"/>
      <c r="D36" s="501"/>
      <c r="E36" s="330" t="s">
        <v>432</v>
      </c>
      <c r="F36" s="327">
        <v>12.18</v>
      </c>
      <c r="G36" s="503"/>
      <c r="H36" s="568"/>
      <c r="I36" s="565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s="318" customFormat="1" ht="15.6" customHeight="1" x14ac:dyDescent="0.3">
      <c r="A37" s="103"/>
      <c r="B37" s="533"/>
      <c r="C37" s="530"/>
      <c r="D37" s="501"/>
      <c r="E37" s="330" t="s">
        <v>433</v>
      </c>
      <c r="F37" s="328">
        <v>4.03</v>
      </c>
      <c r="G37" s="503"/>
      <c r="H37" s="568"/>
      <c r="I37" s="565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s="318" customFormat="1" ht="15.6" customHeight="1" x14ac:dyDescent="0.3">
      <c r="A38" s="103"/>
      <c r="B38" s="533"/>
      <c r="C38" s="530"/>
      <c r="D38" s="501"/>
      <c r="E38" s="330" t="s">
        <v>434</v>
      </c>
      <c r="F38" s="327">
        <v>10.94</v>
      </c>
      <c r="G38" s="503"/>
      <c r="H38" s="568"/>
      <c r="I38" s="565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s="318" customFormat="1" ht="15.6" customHeight="1" x14ac:dyDescent="0.3">
      <c r="A39" s="103"/>
      <c r="B39" s="533"/>
      <c r="C39" s="530"/>
      <c r="D39" s="501"/>
      <c r="E39" s="330" t="s">
        <v>435</v>
      </c>
      <c r="F39" s="327">
        <v>11.91</v>
      </c>
      <c r="G39" s="503"/>
      <c r="H39" s="568"/>
      <c r="I39" s="565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s="318" customFormat="1" ht="15.6" customHeight="1" x14ac:dyDescent="0.3">
      <c r="A40" s="103"/>
      <c r="B40" s="533"/>
      <c r="C40" s="530"/>
      <c r="D40" s="501"/>
      <c r="E40" s="330" t="s">
        <v>436</v>
      </c>
      <c r="F40" s="327">
        <v>3.73</v>
      </c>
      <c r="G40" s="503"/>
      <c r="H40" s="568"/>
      <c r="I40" s="565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spans="1:26" s="318" customFormat="1" ht="15.6" customHeight="1" x14ac:dyDescent="0.3">
      <c r="A41" s="103"/>
      <c r="B41" s="533"/>
      <c r="C41" s="530"/>
      <c r="D41" s="501"/>
      <c r="E41" s="330" t="s">
        <v>437</v>
      </c>
      <c r="F41" s="327">
        <f>77.25+5.66</f>
        <v>82.91</v>
      </c>
      <c r="G41" s="503"/>
      <c r="H41" s="568"/>
      <c r="I41" s="565"/>
      <c r="J41" s="338" t="s">
        <v>472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spans="1:26" s="318" customFormat="1" ht="15.6" customHeight="1" x14ac:dyDescent="0.3">
      <c r="A42" s="103"/>
      <c r="B42" s="533"/>
      <c r="C42" s="530"/>
      <c r="D42" s="501" t="s">
        <v>353</v>
      </c>
      <c r="E42" s="330" t="s">
        <v>438</v>
      </c>
      <c r="F42" s="333">
        <v>9.51</v>
      </c>
      <c r="G42" s="503">
        <f>SUM(F42:F48)</f>
        <v>58.589999999999989</v>
      </c>
      <c r="H42" s="568"/>
      <c r="I42" s="565"/>
      <c r="J42" s="338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spans="1:26" s="318" customFormat="1" ht="15.6" customHeight="1" x14ac:dyDescent="0.3">
      <c r="A43" s="103"/>
      <c r="B43" s="533"/>
      <c r="C43" s="530"/>
      <c r="D43" s="501"/>
      <c r="E43" s="330" t="s">
        <v>439</v>
      </c>
      <c r="F43" s="341">
        <v>4.5</v>
      </c>
      <c r="G43" s="503"/>
      <c r="H43" s="568"/>
      <c r="I43" s="565"/>
      <c r="J43" s="338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</row>
    <row r="44" spans="1:26" s="318" customFormat="1" ht="15.6" customHeight="1" x14ac:dyDescent="0.3">
      <c r="A44" s="103"/>
      <c r="B44" s="533"/>
      <c r="C44" s="530"/>
      <c r="D44" s="501"/>
      <c r="E44" s="330" t="s">
        <v>429</v>
      </c>
      <c r="F44" s="341">
        <v>15.45</v>
      </c>
      <c r="G44" s="503"/>
      <c r="H44" s="568"/>
      <c r="I44" s="565"/>
      <c r="J44" s="338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</row>
    <row r="45" spans="1:26" s="318" customFormat="1" ht="15.6" customHeight="1" x14ac:dyDescent="0.3">
      <c r="A45" s="103"/>
      <c r="B45" s="533"/>
      <c r="C45" s="530"/>
      <c r="D45" s="501"/>
      <c r="E45" s="330" t="s">
        <v>430</v>
      </c>
      <c r="F45" s="341">
        <v>15.45</v>
      </c>
      <c r="G45" s="503"/>
      <c r="H45" s="568"/>
      <c r="I45" s="565"/>
      <c r="J45" s="338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</row>
    <row r="46" spans="1:26" s="318" customFormat="1" ht="15.6" customHeight="1" x14ac:dyDescent="0.3">
      <c r="A46" s="103"/>
      <c r="B46" s="533"/>
      <c r="C46" s="530"/>
      <c r="D46" s="501"/>
      <c r="E46" s="330" t="s">
        <v>440</v>
      </c>
      <c r="F46" s="341">
        <v>4.5199999999999996</v>
      </c>
      <c r="G46" s="503"/>
      <c r="H46" s="568"/>
      <c r="I46" s="565"/>
      <c r="J46" s="338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s="318" customFormat="1" ht="15.6" customHeight="1" x14ac:dyDescent="0.3">
      <c r="A47" s="103"/>
      <c r="B47" s="533"/>
      <c r="C47" s="530"/>
      <c r="D47" s="501"/>
      <c r="E47" s="330" t="s">
        <v>438</v>
      </c>
      <c r="F47" s="341">
        <v>4.6399999999999997</v>
      </c>
      <c r="G47" s="503"/>
      <c r="H47" s="568"/>
      <c r="I47" s="565"/>
      <c r="J47" s="338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s="318" customFormat="1" ht="15.6" customHeight="1" x14ac:dyDescent="0.3">
      <c r="A48" s="103"/>
      <c r="B48" s="533"/>
      <c r="C48" s="530"/>
      <c r="D48" s="501"/>
      <c r="E48" s="330" t="s">
        <v>440</v>
      </c>
      <c r="F48" s="341">
        <v>4.5199999999999996</v>
      </c>
      <c r="G48" s="503"/>
      <c r="H48" s="568"/>
      <c r="I48" s="565"/>
      <c r="J48" s="338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s="279" customFormat="1" ht="15.6" customHeight="1" x14ac:dyDescent="0.3">
      <c r="A49" s="103"/>
      <c r="B49" s="533"/>
      <c r="C49" s="530"/>
      <c r="D49" s="322" t="s">
        <v>354</v>
      </c>
      <c r="E49" s="330" t="s">
        <v>410</v>
      </c>
      <c r="F49" s="331">
        <v>91.72</v>
      </c>
      <c r="G49" s="332">
        <f>F49</f>
        <v>91.72</v>
      </c>
      <c r="H49" s="568"/>
      <c r="I49" s="565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s="251" customFormat="1" ht="15.6" customHeight="1" x14ac:dyDescent="0.3">
      <c r="A50" s="103"/>
      <c r="B50" s="533"/>
      <c r="C50" s="530"/>
      <c r="D50" s="504" t="s">
        <v>355</v>
      </c>
      <c r="E50" s="330" t="s">
        <v>411</v>
      </c>
      <c r="F50" s="333">
        <v>61.21</v>
      </c>
      <c r="G50" s="535">
        <f>SUM(F50:F53)</f>
        <v>214.06</v>
      </c>
      <c r="H50" s="568"/>
      <c r="I50" s="565"/>
      <c r="J50" s="248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s="280" customFormat="1" ht="15.6" customHeight="1" x14ac:dyDescent="0.3">
      <c r="A51" s="103"/>
      <c r="B51" s="533"/>
      <c r="C51" s="530"/>
      <c r="D51" s="505"/>
      <c r="E51" s="330" t="s">
        <v>412</v>
      </c>
      <c r="F51" s="327">
        <v>61.96</v>
      </c>
      <c r="G51" s="535"/>
      <c r="H51" s="568"/>
      <c r="I51" s="565"/>
      <c r="J51" s="248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s="280" customFormat="1" ht="15.6" customHeight="1" x14ac:dyDescent="0.3">
      <c r="A52" s="103"/>
      <c r="B52" s="533"/>
      <c r="C52" s="530"/>
      <c r="D52" s="505"/>
      <c r="E52" s="330" t="s">
        <v>413</v>
      </c>
      <c r="F52" s="327">
        <v>61.31</v>
      </c>
      <c r="G52" s="535"/>
      <c r="H52" s="568"/>
      <c r="I52" s="565"/>
      <c r="J52" s="248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s="280" customFormat="1" ht="15.6" customHeight="1" x14ac:dyDescent="0.3">
      <c r="A53" s="103"/>
      <c r="B53" s="533"/>
      <c r="C53" s="530"/>
      <c r="D53" s="506"/>
      <c r="E53" s="330" t="s">
        <v>414</v>
      </c>
      <c r="F53" s="327">
        <v>29.58</v>
      </c>
      <c r="G53" s="535"/>
      <c r="H53" s="568"/>
      <c r="I53" s="565"/>
      <c r="J53" s="248"/>
      <c r="K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s="251" customFormat="1" ht="15.6" customHeight="1" x14ac:dyDescent="0.3">
      <c r="A54" s="103"/>
      <c r="B54" s="533"/>
      <c r="C54" s="530"/>
      <c r="D54" s="540" t="s">
        <v>356</v>
      </c>
      <c r="E54" s="330" t="s">
        <v>444</v>
      </c>
      <c r="F54" s="333">
        <v>68.13</v>
      </c>
      <c r="G54" s="562">
        <f>SUM(F54:F55)</f>
        <v>136.32999999999998</v>
      </c>
      <c r="H54" s="568"/>
      <c r="I54" s="565"/>
      <c r="J54" s="248"/>
      <c r="K54" s="103"/>
      <c r="L54" s="103"/>
      <c r="M54" s="103"/>
      <c r="N54" s="103"/>
      <c r="O54" s="103"/>
      <c r="P54" s="103"/>
      <c r="Q54" s="103">
        <f>2754.9+345.56</f>
        <v>3100.46</v>
      </c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s="251" customFormat="1" ht="15.6" customHeight="1" x14ac:dyDescent="0.3">
      <c r="A55" s="103"/>
      <c r="B55" s="533"/>
      <c r="C55" s="530"/>
      <c r="D55" s="538"/>
      <c r="E55" s="330" t="s">
        <v>445</v>
      </c>
      <c r="F55" s="328">
        <v>68.2</v>
      </c>
      <c r="G55" s="563"/>
      <c r="H55" s="568"/>
      <c r="I55" s="565"/>
      <c r="J55" s="248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s="280" customFormat="1" ht="15.6" customHeight="1" x14ac:dyDescent="0.3">
      <c r="A56" s="103"/>
      <c r="B56" s="533"/>
      <c r="C56" s="530"/>
      <c r="D56" s="501" t="s">
        <v>357</v>
      </c>
      <c r="E56" s="330" t="s">
        <v>446</v>
      </c>
      <c r="F56" s="328">
        <v>66.010000000000005</v>
      </c>
      <c r="G56" s="503">
        <f>SUM(F56:F62)</f>
        <v>246.01999999999995</v>
      </c>
      <c r="H56" s="568"/>
      <c r="I56" s="565"/>
      <c r="J56" s="260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s="280" customFormat="1" ht="15.6" customHeight="1" x14ac:dyDescent="0.3">
      <c r="A57" s="103"/>
      <c r="B57" s="533"/>
      <c r="C57" s="530"/>
      <c r="D57" s="501"/>
      <c r="E57" s="330" t="s">
        <v>447</v>
      </c>
      <c r="F57" s="328">
        <v>68.180000000000007</v>
      </c>
      <c r="G57" s="503"/>
      <c r="H57" s="568"/>
      <c r="I57" s="565"/>
      <c r="J57" s="260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s="280" customFormat="1" ht="15.6" customHeight="1" x14ac:dyDescent="0.3">
      <c r="A58" s="103"/>
      <c r="B58" s="533"/>
      <c r="C58" s="530"/>
      <c r="D58" s="501"/>
      <c r="E58" s="330" t="s">
        <v>448</v>
      </c>
      <c r="F58" s="341">
        <v>68.599999999999994</v>
      </c>
      <c r="G58" s="503"/>
      <c r="H58" s="568"/>
      <c r="I58" s="565"/>
      <c r="J58" s="260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</row>
    <row r="59" spans="1:26" s="318" customFormat="1" ht="15.6" customHeight="1" x14ac:dyDescent="0.3">
      <c r="A59" s="103"/>
      <c r="B59" s="533"/>
      <c r="C59" s="530"/>
      <c r="D59" s="501"/>
      <c r="E59" s="330" t="s">
        <v>442</v>
      </c>
      <c r="F59" s="328">
        <v>3.51</v>
      </c>
      <c r="G59" s="503"/>
      <c r="H59" s="568"/>
      <c r="I59" s="565"/>
      <c r="J59" s="260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</row>
    <row r="60" spans="1:26" s="318" customFormat="1" ht="15.6" customHeight="1" x14ac:dyDescent="0.3">
      <c r="A60" s="103"/>
      <c r="B60" s="533"/>
      <c r="C60" s="530"/>
      <c r="D60" s="501"/>
      <c r="E60" s="330" t="s">
        <v>441</v>
      </c>
      <c r="F60" s="327">
        <v>15.45</v>
      </c>
      <c r="G60" s="503"/>
      <c r="H60" s="568"/>
      <c r="I60" s="565"/>
      <c r="J60" s="260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</row>
    <row r="61" spans="1:26" s="318" customFormat="1" ht="15.6" customHeight="1" x14ac:dyDescent="0.3">
      <c r="A61" s="103"/>
      <c r="B61" s="533"/>
      <c r="C61" s="530"/>
      <c r="D61" s="501"/>
      <c r="E61" s="330" t="s">
        <v>443</v>
      </c>
      <c r="F61" s="328">
        <v>20.6</v>
      </c>
      <c r="G61" s="503"/>
      <c r="H61" s="568"/>
      <c r="I61" s="565"/>
      <c r="J61" s="260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</row>
    <row r="62" spans="1:26" s="318" customFormat="1" ht="15.6" customHeight="1" x14ac:dyDescent="0.3">
      <c r="A62" s="103"/>
      <c r="B62" s="533"/>
      <c r="C62" s="530"/>
      <c r="D62" s="501"/>
      <c r="E62" s="330" t="s">
        <v>460</v>
      </c>
      <c r="F62" s="327">
        <v>3.67</v>
      </c>
      <c r="G62" s="503"/>
      <c r="H62" s="568"/>
      <c r="I62" s="565"/>
      <c r="J62" s="260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</row>
    <row r="63" spans="1:26" s="251" customFormat="1" ht="15.6" customHeight="1" x14ac:dyDescent="0.3">
      <c r="A63" s="103"/>
      <c r="B63" s="533"/>
      <c r="C63" s="530"/>
      <c r="D63" s="501" t="s">
        <v>358</v>
      </c>
      <c r="E63" s="330" t="s">
        <v>449</v>
      </c>
      <c r="F63" s="333">
        <v>68.13</v>
      </c>
      <c r="G63" s="535">
        <f>SUM(F63:F66)</f>
        <v>272.65999999999997</v>
      </c>
      <c r="H63" s="568"/>
      <c r="I63" s="565"/>
      <c r="J63" s="248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</row>
    <row r="64" spans="1:26" s="280" customFormat="1" ht="15.6" customHeight="1" x14ac:dyDescent="0.3">
      <c r="A64" s="103"/>
      <c r="B64" s="533"/>
      <c r="C64" s="530"/>
      <c r="D64" s="501"/>
      <c r="E64" s="330" t="s">
        <v>450</v>
      </c>
      <c r="F64" s="341">
        <v>68.2</v>
      </c>
      <c r="G64" s="535"/>
      <c r="H64" s="568"/>
      <c r="I64" s="565"/>
      <c r="J64" s="248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6" s="280" customFormat="1" ht="15.6" customHeight="1" x14ac:dyDescent="0.3">
      <c r="A65" s="103"/>
      <c r="B65" s="533"/>
      <c r="C65" s="530"/>
      <c r="D65" s="501"/>
      <c r="E65" s="330" t="s">
        <v>451</v>
      </c>
      <c r="F65" s="333">
        <v>68.13</v>
      </c>
      <c r="G65" s="535"/>
      <c r="H65" s="568"/>
      <c r="I65" s="565"/>
      <c r="J65" s="248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</row>
    <row r="66" spans="1:26" s="280" customFormat="1" ht="15.6" customHeight="1" x14ac:dyDescent="0.3">
      <c r="A66" s="103"/>
      <c r="B66" s="533"/>
      <c r="C66" s="530"/>
      <c r="D66" s="501"/>
      <c r="E66" s="330" t="s">
        <v>452</v>
      </c>
      <c r="F66" s="341">
        <v>68.2</v>
      </c>
      <c r="G66" s="535"/>
      <c r="H66" s="568"/>
      <c r="I66" s="565"/>
      <c r="J66" s="248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</row>
    <row r="67" spans="1:26" s="251" customFormat="1" ht="15.6" customHeight="1" x14ac:dyDescent="0.3">
      <c r="A67" s="103"/>
      <c r="B67" s="533"/>
      <c r="C67" s="530"/>
      <c r="D67" s="570" t="s">
        <v>359</v>
      </c>
      <c r="E67" s="330" t="s">
        <v>453</v>
      </c>
      <c r="F67" s="333">
        <v>68.13</v>
      </c>
      <c r="G67" s="535">
        <f>SUM(F67:F74)</f>
        <v>315.73</v>
      </c>
      <c r="H67" s="568"/>
      <c r="I67" s="565"/>
      <c r="J67" s="248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</row>
    <row r="68" spans="1:26" s="251" customFormat="1" ht="15.6" customHeight="1" x14ac:dyDescent="0.3">
      <c r="A68" s="103"/>
      <c r="B68" s="533"/>
      <c r="C68" s="530"/>
      <c r="D68" s="570"/>
      <c r="E68" s="330" t="s">
        <v>454</v>
      </c>
      <c r="F68" s="341">
        <v>68.2</v>
      </c>
      <c r="G68" s="535"/>
      <c r="H68" s="568"/>
      <c r="I68" s="565"/>
      <c r="J68" s="261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</row>
    <row r="69" spans="1:26" s="251" customFormat="1" ht="15.6" customHeight="1" x14ac:dyDescent="0.3">
      <c r="A69" s="103"/>
      <c r="B69" s="533"/>
      <c r="C69" s="530"/>
      <c r="D69" s="570"/>
      <c r="E69" s="330" t="s">
        <v>455</v>
      </c>
      <c r="F69" s="341">
        <v>68.13</v>
      </c>
      <c r="G69" s="535"/>
      <c r="H69" s="568"/>
      <c r="I69" s="565"/>
      <c r="J69" s="248"/>
      <c r="K69" s="103"/>
      <c r="L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</row>
    <row r="70" spans="1:26" s="280" customFormat="1" ht="15.6" customHeight="1" x14ac:dyDescent="0.3">
      <c r="A70" s="103"/>
      <c r="B70" s="533"/>
      <c r="C70" s="530"/>
      <c r="D70" s="570"/>
      <c r="E70" s="330" t="s">
        <v>456</v>
      </c>
      <c r="F70" s="333">
        <v>69.069999999999993</v>
      </c>
      <c r="G70" s="535"/>
      <c r="H70" s="568"/>
      <c r="I70" s="565"/>
      <c r="J70" s="248"/>
      <c r="K70" s="103"/>
      <c r="L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318" customFormat="1" ht="15.6" customHeight="1" x14ac:dyDescent="0.3">
      <c r="A71" s="103"/>
      <c r="B71" s="533"/>
      <c r="C71" s="530"/>
      <c r="D71" s="570"/>
      <c r="E71" s="330" t="s">
        <v>438</v>
      </c>
      <c r="F71" s="333">
        <v>4.04</v>
      </c>
      <c r="G71" s="535"/>
      <c r="H71" s="568"/>
      <c r="I71" s="565"/>
      <c r="J71" s="248"/>
      <c r="K71" s="103"/>
      <c r="L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</row>
    <row r="72" spans="1:26" s="318" customFormat="1" ht="15.6" customHeight="1" x14ac:dyDescent="0.3">
      <c r="A72" s="103"/>
      <c r="B72" s="533"/>
      <c r="C72" s="530"/>
      <c r="D72" s="570"/>
      <c r="E72" s="330" t="s">
        <v>441</v>
      </c>
      <c r="F72" s="333">
        <v>16.600000000000001</v>
      </c>
      <c r="G72" s="535"/>
      <c r="H72" s="568"/>
      <c r="I72" s="565"/>
      <c r="J72" s="248"/>
      <c r="K72" s="103"/>
      <c r="L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s="318" customFormat="1" ht="15.6" customHeight="1" x14ac:dyDescent="0.3">
      <c r="A73" s="103"/>
      <c r="B73" s="533"/>
      <c r="C73" s="530"/>
      <c r="D73" s="570"/>
      <c r="E73" s="330" t="s">
        <v>438</v>
      </c>
      <c r="F73" s="333">
        <v>4.18</v>
      </c>
      <c r="G73" s="535"/>
      <c r="H73" s="568"/>
      <c r="I73" s="565"/>
      <c r="J73" s="248"/>
      <c r="K73" s="103"/>
      <c r="L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</row>
    <row r="74" spans="1:26" s="318" customFormat="1" ht="15.6" customHeight="1" x14ac:dyDescent="0.3">
      <c r="A74" s="103"/>
      <c r="B74" s="533"/>
      <c r="C74" s="530"/>
      <c r="D74" s="570"/>
      <c r="E74" s="330" t="s">
        <v>443</v>
      </c>
      <c r="F74" s="333">
        <v>17.38</v>
      </c>
      <c r="G74" s="535"/>
      <c r="H74" s="568"/>
      <c r="I74" s="565"/>
      <c r="J74" s="248"/>
      <c r="K74" s="103"/>
      <c r="L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</row>
    <row r="75" spans="1:26" s="280" customFormat="1" ht="15.6" customHeight="1" x14ac:dyDescent="0.3">
      <c r="A75" s="103"/>
      <c r="B75" s="533"/>
      <c r="C75" s="530"/>
      <c r="D75" s="337" t="s">
        <v>360</v>
      </c>
      <c r="E75" s="334" t="s">
        <v>371</v>
      </c>
      <c r="F75" s="342">
        <v>211.19</v>
      </c>
      <c r="G75" s="343">
        <v>211.19</v>
      </c>
      <c r="H75" s="568"/>
      <c r="I75" s="565"/>
      <c r="J75" s="248"/>
      <c r="K75" s="103"/>
      <c r="L75" s="103"/>
      <c r="M75" s="338">
        <f>104.18+498.95+94.61+95.95+60.39+26.93+53.27+74.83+48.52+68.04+187.42+75.39+24.98+26.45+25.94+71.84+134.61</f>
        <v>1672.3000000000002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</row>
    <row r="76" spans="1:26" s="371" customFormat="1" ht="57" customHeight="1" x14ac:dyDescent="0.3">
      <c r="A76" s="103"/>
      <c r="B76" s="533"/>
      <c r="C76" s="530"/>
      <c r="D76" s="367" t="s">
        <v>391</v>
      </c>
      <c r="E76" s="330" t="s">
        <v>503</v>
      </c>
      <c r="F76" s="333">
        <v>375.52</v>
      </c>
      <c r="G76" s="368">
        <v>211.19</v>
      </c>
      <c r="H76" s="568"/>
      <c r="I76" s="565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</row>
    <row r="77" spans="1:26" s="280" customFormat="1" ht="15.6" customHeight="1" thickBot="1" x14ac:dyDescent="0.35">
      <c r="A77" s="103"/>
      <c r="B77" s="534"/>
      <c r="C77" s="531"/>
      <c r="D77" s="344" t="s">
        <v>195</v>
      </c>
      <c r="E77" s="345" t="s">
        <v>371</v>
      </c>
      <c r="F77" s="346">
        <f>94.61+498.95+95.95+48.52+74.83+187.42+75.39+24.89+26.45+25.94</f>
        <v>1152.9500000000003</v>
      </c>
      <c r="G77" s="347">
        <f>F77</f>
        <v>1152.9500000000003</v>
      </c>
      <c r="H77" s="569"/>
      <c r="I77" s="566"/>
      <c r="J77" s="248"/>
      <c r="K77" s="103"/>
      <c r="L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</row>
    <row r="78" spans="1:26" s="280" customFormat="1" ht="15.6" customHeight="1" thickTop="1" x14ac:dyDescent="0.3">
      <c r="A78" s="103"/>
      <c r="B78" s="464" t="s">
        <v>347</v>
      </c>
      <c r="C78" s="529" t="s">
        <v>348</v>
      </c>
      <c r="D78" s="536" t="s">
        <v>351</v>
      </c>
      <c r="E78" s="352" t="s">
        <v>400</v>
      </c>
      <c r="F78" s="353">
        <v>44.82</v>
      </c>
      <c r="G78" s="539">
        <f>SUM(F78:F84)</f>
        <v>181.28</v>
      </c>
      <c r="H78" s="472">
        <f>SUM(G78:G105)</f>
        <v>2947.7000000000003</v>
      </c>
      <c r="I78" s="458" t="s">
        <v>111</v>
      </c>
      <c r="J78" s="248"/>
      <c r="K78" s="103"/>
      <c r="L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</row>
    <row r="79" spans="1:26" s="280" customFormat="1" ht="15.6" customHeight="1" x14ac:dyDescent="0.3">
      <c r="A79" s="103"/>
      <c r="B79" s="465"/>
      <c r="C79" s="530"/>
      <c r="D79" s="537"/>
      <c r="E79" s="330" t="s">
        <v>401</v>
      </c>
      <c r="F79" s="327">
        <v>14.55</v>
      </c>
      <c r="G79" s="535"/>
      <c r="H79" s="473"/>
      <c r="I79" s="459"/>
      <c r="J79" s="248"/>
      <c r="K79" s="103"/>
      <c r="L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</row>
    <row r="80" spans="1:26" s="280" customFormat="1" ht="15.6" customHeight="1" x14ac:dyDescent="0.3">
      <c r="A80" s="103"/>
      <c r="B80" s="465"/>
      <c r="C80" s="530"/>
      <c r="D80" s="537"/>
      <c r="E80" s="330" t="s">
        <v>402</v>
      </c>
      <c r="F80" s="327">
        <v>39.86</v>
      </c>
      <c r="G80" s="535"/>
      <c r="H80" s="473"/>
      <c r="I80" s="459"/>
      <c r="J80" s="248"/>
      <c r="K80" s="103"/>
      <c r="L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</row>
    <row r="81" spans="1:26" s="251" customFormat="1" ht="15.6" customHeight="1" x14ac:dyDescent="0.3">
      <c r="A81" s="103"/>
      <c r="B81" s="465"/>
      <c r="C81" s="530"/>
      <c r="D81" s="537"/>
      <c r="E81" s="330" t="s">
        <v>403</v>
      </c>
      <c r="F81" s="328">
        <v>14.5</v>
      </c>
      <c r="G81" s="535"/>
      <c r="H81" s="473"/>
      <c r="I81" s="459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</row>
    <row r="82" spans="1:26" s="251" customFormat="1" ht="15.6" customHeight="1" x14ac:dyDescent="0.3">
      <c r="A82" s="103"/>
      <c r="B82" s="465"/>
      <c r="C82" s="530"/>
      <c r="D82" s="537"/>
      <c r="E82" s="330" t="s">
        <v>404</v>
      </c>
      <c r="F82" s="327">
        <v>14.58</v>
      </c>
      <c r="G82" s="535"/>
      <c r="H82" s="473"/>
      <c r="I82" s="459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</row>
    <row r="83" spans="1:26" s="280" customFormat="1" ht="15.6" customHeight="1" x14ac:dyDescent="0.3">
      <c r="A83" s="103"/>
      <c r="B83" s="465"/>
      <c r="C83" s="530"/>
      <c r="D83" s="537"/>
      <c r="E83" s="330" t="s">
        <v>406</v>
      </c>
      <c r="F83" s="327">
        <v>14.48</v>
      </c>
      <c r="G83" s="535"/>
      <c r="H83" s="473"/>
      <c r="I83" s="459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</row>
    <row r="84" spans="1:26" s="280" customFormat="1" ht="15.6" customHeight="1" x14ac:dyDescent="0.3">
      <c r="A84" s="103"/>
      <c r="B84" s="465"/>
      <c r="C84" s="530"/>
      <c r="D84" s="538"/>
      <c r="E84" s="330" t="s">
        <v>399</v>
      </c>
      <c r="F84" s="327">
        <f>12.28+11.13+15.08</f>
        <v>38.49</v>
      </c>
      <c r="G84" s="535"/>
      <c r="H84" s="473"/>
      <c r="I84" s="459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s="280" customFormat="1" ht="15.6" customHeight="1" x14ac:dyDescent="0.3">
      <c r="A85" s="103"/>
      <c r="B85" s="465"/>
      <c r="C85" s="530"/>
      <c r="D85" s="367" t="s">
        <v>354</v>
      </c>
      <c r="E85" s="330" t="s">
        <v>410</v>
      </c>
      <c r="F85" s="331">
        <v>91.72</v>
      </c>
      <c r="G85" s="368">
        <v>91.72</v>
      </c>
      <c r="H85" s="473"/>
      <c r="I85" s="459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s="280" customFormat="1" ht="15.6" customHeight="1" x14ac:dyDescent="0.3">
      <c r="A86" s="103"/>
      <c r="B86" s="465"/>
      <c r="C86" s="530"/>
      <c r="D86" s="540" t="s">
        <v>355</v>
      </c>
      <c r="E86" s="330" t="s">
        <v>411</v>
      </c>
      <c r="F86" s="333">
        <v>61.21</v>
      </c>
      <c r="G86" s="535">
        <f>SUM(F86:F89)</f>
        <v>214.06</v>
      </c>
      <c r="H86" s="473"/>
      <c r="I86" s="459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s="251" customFormat="1" ht="15.6" customHeight="1" x14ac:dyDescent="0.3">
      <c r="A87" s="103"/>
      <c r="B87" s="465"/>
      <c r="C87" s="530"/>
      <c r="D87" s="537"/>
      <c r="E87" s="330" t="s">
        <v>412</v>
      </c>
      <c r="F87" s="327">
        <v>61.96</v>
      </c>
      <c r="G87" s="535"/>
      <c r="H87" s="473"/>
      <c r="I87" s="459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s="251" customFormat="1" ht="15.6" customHeight="1" x14ac:dyDescent="0.3">
      <c r="A88" s="103"/>
      <c r="B88" s="465"/>
      <c r="C88" s="530"/>
      <c r="D88" s="537"/>
      <c r="E88" s="330" t="s">
        <v>413</v>
      </c>
      <c r="F88" s="327">
        <v>61.31</v>
      </c>
      <c r="G88" s="535"/>
      <c r="H88" s="473"/>
      <c r="I88" s="459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s="280" customFormat="1" ht="15.6" customHeight="1" x14ac:dyDescent="0.3">
      <c r="A89" s="103"/>
      <c r="B89" s="465"/>
      <c r="C89" s="530"/>
      <c r="D89" s="538"/>
      <c r="E89" s="330" t="s">
        <v>414</v>
      </c>
      <c r="F89" s="327">
        <v>29.58</v>
      </c>
      <c r="G89" s="535"/>
      <c r="H89" s="473"/>
      <c r="I89" s="459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s="280" customFormat="1" ht="15.6" customHeight="1" x14ac:dyDescent="0.3">
      <c r="A90" s="103"/>
      <c r="B90" s="465"/>
      <c r="C90" s="530"/>
      <c r="D90" s="540" t="s">
        <v>356</v>
      </c>
      <c r="E90" s="330" t="s">
        <v>415</v>
      </c>
      <c r="F90" s="333">
        <v>68.13</v>
      </c>
      <c r="G90" s="535">
        <f>SUM(F90:F91)</f>
        <v>136.32999999999998</v>
      </c>
      <c r="H90" s="473"/>
      <c r="I90" s="459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s="251" customFormat="1" ht="15.6" customHeight="1" x14ac:dyDescent="0.3">
      <c r="A91" s="103"/>
      <c r="B91" s="465"/>
      <c r="C91" s="530"/>
      <c r="D91" s="538"/>
      <c r="E91" s="330" t="s">
        <v>416</v>
      </c>
      <c r="F91" s="328">
        <v>68.2</v>
      </c>
      <c r="G91" s="535"/>
      <c r="H91" s="473"/>
      <c r="I91" s="459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s="280" customFormat="1" ht="15.6" customHeight="1" x14ac:dyDescent="0.3">
      <c r="A92" s="103"/>
      <c r="B92" s="465"/>
      <c r="C92" s="530"/>
      <c r="D92" s="540" t="s">
        <v>357</v>
      </c>
      <c r="E92" s="330" t="s">
        <v>417</v>
      </c>
      <c r="F92" s="328">
        <v>66.010000000000005</v>
      </c>
      <c r="G92" s="503">
        <f>SUM(F92:F94)</f>
        <v>202.79</v>
      </c>
      <c r="H92" s="473"/>
      <c r="I92" s="45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80" customFormat="1" ht="15.6" customHeight="1" x14ac:dyDescent="0.3">
      <c r="A93" s="103"/>
      <c r="B93" s="465"/>
      <c r="C93" s="530"/>
      <c r="D93" s="537"/>
      <c r="E93" s="330" t="s">
        <v>418</v>
      </c>
      <c r="F93" s="328">
        <v>68.180000000000007</v>
      </c>
      <c r="G93" s="503"/>
      <c r="H93" s="473"/>
      <c r="I93" s="459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</row>
    <row r="94" spans="1:26" s="280" customFormat="1" ht="15.6" customHeight="1" x14ac:dyDescent="0.3">
      <c r="A94" s="103"/>
      <c r="B94" s="465"/>
      <c r="C94" s="530"/>
      <c r="D94" s="538"/>
      <c r="E94" s="330" t="s">
        <v>419</v>
      </c>
      <c r="F94" s="341">
        <v>68.599999999999994</v>
      </c>
      <c r="G94" s="503"/>
      <c r="H94" s="473"/>
      <c r="I94" s="459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s="280" customFormat="1" ht="15.6" customHeight="1" x14ac:dyDescent="0.3">
      <c r="A95" s="103"/>
      <c r="B95" s="465"/>
      <c r="C95" s="530"/>
      <c r="D95" s="540" t="s">
        <v>358</v>
      </c>
      <c r="E95" s="330" t="s">
        <v>420</v>
      </c>
      <c r="F95" s="333">
        <v>68.13</v>
      </c>
      <c r="G95" s="535">
        <f>2*68.2+2*68.13</f>
        <v>272.65999999999997</v>
      </c>
      <c r="H95" s="473"/>
      <c r="I95" s="459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</row>
    <row r="96" spans="1:26" s="280" customFormat="1" ht="15.6" customHeight="1" x14ac:dyDescent="0.3">
      <c r="A96" s="103"/>
      <c r="B96" s="465"/>
      <c r="C96" s="530"/>
      <c r="D96" s="537"/>
      <c r="E96" s="330" t="s">
        <v>421</v>
      </c>
      <c r="F96" s="341">
        <v>68.2</v>
      </c>
      <c r="G96" s="535"/>
      <c r="H96" s="473"/>
      <c r="I96" s="459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</row>
    <row r="97" spans="1:26" s="280" customFormat="1" ht="15.6" customHeight="1" x14ac:dyDescent="0.3">
      <c r="A97" s="103"/>
      <c r="B97" s="465"/>
      <c r="C97" s="530"/>
      <c r="D97" s="537"/>
      <c r="E97" s="330" t="s">
        <v>422</v>
      </c>
      <c r="F97" s="333">
        <v>68.13</v>
      </c>
      <c r="G97" s="535"/>
      <c r="H97" s="473"/>
      <c r="I97" s="459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</row>
    <row r="98" spans="1:26" s="251" customFormat="1" ht="15.6" customHeight="1" x14ac:dyDescent="0.3">
      <c r="A98" s="103"/>
      <c r="B98" s="465"/>
      <c r="C98" s="530"/>
      <c r="D98" s="538"/>
      <c r="E98" s="330" t="s">
        <v>423</v>
      </c>
      <c r="F98" s="341">
        <v>68.2</v>
      </c>
      <c r="G98" s="535"/>
      <c r="H98" s="473"/>
      <c r="I98" s="459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</row>
    <row r="99" spans="1:26" s="251" customFormat="1" ht="15.6" customHeight="1" x14ac:dyDescent="0.3">
      <c r="A99" s="103"/>
      <c r="B99" s="465"/>
      <c r="C99" s="530"/>
      <c r="D99" s="559" t="s">
        <v>359</v>
      </c>
      <c r="E99" s="330" t="s">
        <v>424</v>
      </c>
      <c r="F99" s="333">
        <v>68.13</v>
      </c>
      <c r="G99" s="535">
        <f>SUM(F99:F102)</f>
        <v>273.52999999999997</v>
      </c>
      <c r="H99" s="473"/>
      <c r="I99" s="459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</row>
    <row r="100" spans="1:26" s="251" customFormat="1" ht="15.6" customHeight="1" x14ac:dyDescent="0.3">
      <c r="A100" s="103"/>
      <c r="B100" s="465"/>
      <c r="C100" s="530"/>
      <c r="D100" s="560"/>
      <c r="E100" s="330" t="s">
        <v>425</v>
      </c>
      <c r="F100" s="341">
        <v>68.2</v>
      </c>
      <c r="G100" s="535"/>
      <c r="H100" s="473"/>
      <c r="I100" s="459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</row>
    <row r="101" spans="1:26" s="281" customFormat="1" ht="15.6" customHeight="1" x14ac:dyDescent="0.3">
      <c r="A101" s="103"/>
      <c r="B101" s="465"/>
      <c r="C101" s="530"/>
      <c r="D101" s="560"/>
      <c r="E101" s="330" t="s">
        <v>426</v>
      </c>
      <c r="F101" s="341">
        <v>68.13</v>
      </c>
      <c r="G101" s="535"/>
      <c r="H101" s="473"/>
      <c r="I101" s="459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s="281" customFormat="1" ht="15.6" customHeight="1" x14ac:dyDescent="0.3">
      <c r="A102" s="103"/>
      <c r="B102" s="465"/>
      <c r="C102" s="530"/>
      <c r="D102" s="561"/>
      <c r="E102" s="330" t="s">
        <v>427</v>
      </c>
      <c r="F102" s="333">
        <v>69.069999999999993</v>
      </c>
      <c r="G102" s="535"/>
      <c r="H102" s="473"/>
      <c r="I102" s="45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s="281" customFormat="1" ht="15.6" customHeight="1" x14ac:dyDescent="0.3">
      <c r="A103" s="103"/>
      <c r="B103" s="465"/>
      <c r="C103" s="530"/>
      <c r="D103" s="367" t="s">
        <v>360</v>
      </c>
      <c r="E103" s="330" t="s">
        <v>371</v>
      </c>
      <c r="F103" s="333">
        <v>211.19</v>
      </c>
      <c r="G103" s="368">
        <v>211.19</v>
      </c>
      <c r="H103" s="473"/>
      <c r="I103" s="459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</row>
    <row r="104" spans="1:26" s="371" customFormat="1" ht="57" customHeight="1" x14ac:dyDescent="0.3">
      <c r="A104" s="103"/>
      <c r="B104" s="465"/>
      <c r="C104" s="530"/>
      <c r="D104" s="367" t="s">
        <v>391</v>
      </c>
      <c r="E104" s="330" t="s">
        <v>503</v>
      </c>
      <c r="F104" s="333">
        <v>375.52</v>
      </c>
      <c r="G104" s="368">
        <v>211.19</v>
      </c>
      <c r="H104" s="473"/>
      <c r="I104" s="459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</row>
    <row r="105" spans="1:26" s="281" customFormat="1" ht="15.6" customHeight="1" thickBot="1" x14ac:dyDescent="0.35">
      <c r="A105" s="103"/>
      <c r="B105" s="466"/>
      <c r="C105" s="531"/>
      <c r="D105" s="414" t="s">
        <v>195</v>
      </c>
      <c r="E105" s="415" t="s">
        <v>371</v>
      </c>
      <c r="F105" s="416">
        <f>94.61+498.95+95.95+48.52+74.83+187.42+75.39+24.89+26.45+25.94</f>
        <v>1152.9500000000003</v>
      </c>
      <c r="G105" s="417">
        <f>F105</f>
        <v>1152.9500000000003</v>
      </c>
      <c r="H105" s="554"/>
      <c r="I105" s="552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</row>
    <row r="106" spans="1:26" s="280" customFormat="1" ht="15.6" customHeight="1" thickTop="1" x14ac:dyDescent="0.3">
      <c r="A106" s="103"/>
      <c r="B106" s="464">
        <v>87630</v>
      </c>
      <c r="C106" s="529" t="s">
        <v>505</v>
      </c>
      <c r="D106" s="556" t="s">
        <v>351</v>
      </c>
      <c r="E106" s="320" t="s">
        <v>407</v>
      </c>
      <c r="F106" s="321">
        <v>4.21</v>
      </c>
      <c r="G106" s="541">
        <f>SUM(F106:F109)</f>
        <v>14.14</v>
      </c>
      <c r="H106" s="553">
        <f>SUM(G106:G134)</f>
        <v>345.55999999999995</v>
      </c>
      <c r="I106" s="555" t="s">
        <v>111</v>
      </c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</row>
    <row r="107" spans="1:26" s="280" customFormat="1" ht="15.6" customHeight="1" x14ac:dyDescent="0.3">
      <c r="A107" s="103"/>
      <c r="B107" s="465"/>
      <c r="C107" s="530"/>
      <c r="D107" s="505"/>
      <c r="E107" s="320" t="s">
        <v>405</v>
      </c>
      <c r="F107" s="321">
        <v>2.86</v>
      </c>
      <c r="G107" s="512"/>
      <c r="H107" s="473"/>
      <c r="I107" s="459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</row>
    <row r="108" spans="1:26" s="280" customFormat="1" ht="15.6" customHeight="1" x14ac:dyDescent="0.3">
      <c r="A108" s="103"/>
      <c r="B108" s="465"/>
      <c r="C108" s="530"/>
      <c r="D108" s="505"/>
      <c r="E108" s="320" t="s">
        <v>409</v>
      </c>
      <c r="F108" s="321">
        <v>2.86</v>
      </c>
      <c r="G108" s="512"/>
      <c r="H108" s="473"/>
      <c r="I108" s="459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</row>
    <row r="109" spans="1:26" s="280" customFormat="1" ht="15.6" customHeight="1" x14ac:dyDescent="0.3">
      <c r="A109" s="103"/>
      <c r="B109" s="465"/>
      <c r="C109" s="530"/>
      <c r="D109" s="506"/>
      <c r="E109" s="320" t="s">
        <v>408</v>
      </c>
      <c r="F109" s="321">
        <f>4.12+0.09</f>
        <v>4.21</v>
      </c>
      <c r="G109" s="512"/>
      <c r="H109" s="473"/>
      <c r="I109" s="459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s="280" customFormat="1" ht="15.6" customHeight="1" x14ac:dyDescent="0.3">
      <c r="A110" s="103"/>
      <c r="B110" s="465"/>
      <c r="C110" s="530"/>
      <c r="D110" s="504" t="s">
        <v>352</v>
      </c>
      <c r="E110" s="324" t="s">
        <v>428</v>
      </c>
      <c r="F110" s="324">
        <v>30.1</v>
      </c>
      <c r="G110" s="512">
        <f>SUM(F110:F119)</f>
        <v>187.39999999999998</v>
      </c>
      <c r="H110" s="473"/>
      <c r="I110" s="459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s="280" customFormat="1" ht="15.6" customHeight="1" x14ac:dyDescent="0.3">
      <c r="A111" s="103"/>
      <c r="B111" s="465"/>
      <c r="C111" s="530"/>
      <c r="D111" s="505"/>
      <c r="E111" s="323" t="s">
        <v>429</v>
      </c>
      <c r="F111" s="325">
        <v>3.36</v>
      </c>
      <c r="G111" s="512"/>
      <c r="H111" s="473"/>
      <c r="I111" s="459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s="252" customFormat="1" ht="15.6" customHeight="1" x14ac:dyDescent="0.3">
      <c r="A112" s="103"/>
      <c r="B112" s="465"/>
      <c r="C112" s="530"/>
      <c r="D112" s="505"/>
      <c r="E112" s="323" t="s">
        <v>430</v>
      </c>
      <c r="F112" s="325">
        <v>3.36</v>
      </c>
      <c r="G112" s="512"/>
      <c r="H112" s="473"/>
      <c r="I112" s="459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s="252" customFormat="1" ht="15.6" customHeight="1" x14ac:dyDescent="0.3">
      <c r="A113" s="103"/>
      <c r="B113" s="465"/>
      <c r="C113" s="530"/>
      <c r="D113" s="505"/>
      <c r="E113" s="323" t="s">
        <v>431</v>
      </c>
      <c r="F113" s="325">
        <v>24.88</v>
      </c>
      <c r="G113" s="512"/>
      <c r="H113" s="473"/>
      <c r="I113" s="459"/>
      <c r="J113" s="262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s="252" customFormat="1" ht="15.6" customHeight="1" x14ac:dyDescent="0.3">
      <c r="A114" s="103"/>
      <c r="B114" s="465"/>
      <c r="C114" s="530"/>
      <c r="D114" s="505"/>
      <c r="E114" s="323" t="s">
        <v>432</v>
      </c>
      <c r="F114" s="325">
        <v>12.18</v>
      </c>
      <c r="G114" s="512"/>
      <c r="H114" s="473"/>
      <c r="I114" s="459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s="280" customFormat="1" ht="15.6" customHeight="1" x14ac:dyDescent="0.3">
      <c r="A115" s="103"/>
      <c r="B115" s="465"/>
      <c r="C115" s="530"/>
      <c r="D115" s="505"/>
      <c r="E115" s="323" t="s">
        <v>433</v>
      </c>
      <c r="F115" s="335">
        <v>4.03</v>
      </c>
      <c r="G115" s="512"/>
      <c r="H115" s="473"/>
      <c r="I115" s="459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s="280" customFormat="1" ht="15.6" customHeight="1" x14ac:dyDescent="0.3">
      <c r="A116" s="103"/>
      <c r="B116" s="465"/>
      <c r="C116" s="530"/>
      <c r="D116" s="505"/>
      <c r="E116" s="323" t="s">
        <v>434</v>
      </c>
      <c r="F116" s="325">
        <v>10.94</v>
      </c>
      <c r="G116" s="512"/>
      <c r="H116" s="473"/>
      <c r="I116" s="459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s="280" customFormat="1" ht="15.6" customHeight="1" x14ac:dyDescent="0.3">
      <c r="A117" s="103"/>
      <c r="B117" s="465"/>
      <c r="C117" s="530"/>
      <c r="D117" s="505"/>
      <c r="E117" s="323" t="s">
        <v>435</v>
      </c>
      <c r="F117" s="325">
        <v>11.91</v>
      </c>
      <c r="G117" s="512"/>
      <c r="H117" s="473"/>
      <c r="I117" s="459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s="280" customFormat="1" ht="15.6" customHeight="1" x14ac:dyDescent="0.3">
      <c r="A118" s="103"/>
      <c r="B118" s="465"/>
      <c r="C118" s="530"/>
      <c r="D118" s="505"/>
      <c r="E118" s="323" t="s">
        <v>436</v>
      </c>
      <c r="F118" s="325">
        <v>3.73</v>
      </c>
      <c r="G118" s="512"/>
      <c r="H118" s="473"/>
      <c r="I118" s="459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s="280" customFormat="1" ht="15.6" customHeight="1" x14ac:dyDescent="0.3">
      <c r="A119" s="103"/>
      <c r="B119" s="465"/>
      <c r="C119" s="530"/>
      <c r="D119" s="506"/>
      <c r="E119" s="323" t="s">
        <v>437</v>
      </c>
      <c r="F119" s="325">
        <f>77.25+5.66</f>
        <v>82.91</v>
      </c>
      <c r="G119" s="512"/>
      <c r="H119" s="473"/>
      <c r="I119" s="459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s="280" customFormat="1" ht="15.6" customHeight="1" x14ac:dyDescent="0.3">
      <c r="A120" s="103"/>
      <c r="B120" s="465"/>
      <c r="C120" s="530"/>
      <c r="D120" s="504" t="s">
        <v>353</v>
      </c>
      <c r="E120" s="323" t="s">
        <v>438</v>
      </c>
      <c r="F120" s="324">
        <v>9.51</v>
      </c>
      <c r="G120" s="512">
        <f>SUM(F120:F126)</f>
        <v>58.589999999999989</v>
      </c>
      <c r="H120" s="473"/>
      <c r="I120" s="459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s="280" customFormat="1" ht="15.6" customHeight="1" x14ac:dyDescent="0.3">
      <c r="A121" s="103"/>
      <c r="B121" s="465"/>
      <c r="C121" s="530"/>
      <c r="D121" s="505"/>
      <c r="E121" s="323" t="s">
        <v>439</v>
      </c>
      <c r="F121" s="336">
        <v>4.5</v>
      </c>
      <c r="G121" s="512"/>
      <c r="H121" s="473"/>
      <c r="I121" s="459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</row>
    <row r="122" spans="1:26" s="280" customFormat="1" ht="15.6" customHeight="1" x14ac:dyDescent="0.3">
      <c r="A122" s="103"/>
      <c r="B122" s="465"/>
      <c r="C122" s="530"/>
      <c r="D122" s="505"/>
      <c r="E122" s="323" t="s">
        <v>429</v>
      </c>
      <c r="F122" s="336">
        <v>15.45</v>
      </c>
      <c r="G122" s="512"/>
      <c r="H122" s="473"/>
      <c r="I122" s="459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</row>
    <row r="123" spans="1:26" s="280" customFormat="1" ht="15.6" customHeight="1" x14ac:dyDescent="0.3">
      <c r="A123" s="103"/>
      <c r="B123" s="465"/>
      <c r="C123" s="530"/>
      <c r="D123" s="505"/>
      <c r="E123" s="323" t="s">
        <v>430</v>
      </c>
      <c r="F123" s="336">
        <v>15.45</v>
      </c>
      <c r="G123" s="512"/>
      <c r="H123" s="473"/>
      <c r="I123" s="459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</row>
    <row r="124" spans="1:26" s="280" customFormat="1" ht="15.6" customHeight="1" x14ac:dyDescent="0.3">
      <c r="A124" s="103"/>
      <c r="B124" s="465"/>
      <c r="C124" s="530"/>
      <c r="D124" s="505"/>
      <c r="E124" s="323" t="s">
        <v>440</v>
      </c>
      <c r="F124" s="336">
        <v>4.5199999999999996</v>
      </c>
      <c r="G124" s="512"/>
      <c r="H124" s="473"/>
      <c r="I124" s="459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</row>
    <row r="125" spans="1:26" s="280" customFormat="1" ht="15.6" customHeight="1" x14ac:dyDescent="0.3">
      <c r="A125" s="103"/>
      <c r="B125" s="465"/>
      <c r="C125" s="530"/>
      <c r="D125" s="505"/>
      <c r="E125" s="323" t="s">
        <v>438</v>
      </c>
      <c r="F125" s="336">
        <v>4.6399999999999997</v>
      </c>
      <c r="G125" s="512"/>
      <c r="H125" s="473"/>
      <c r="I125" s="459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</row>
    <row r="126" spans="1:26" s="280" customFormat="1" ht="15.6" customHeight="1" x14ac:dyDescent="0.3">
      <c r="A126" s="103"/>
      <c r="B126" s="465"/>
      <c r="C126" s="530"/>
      <c r="D126" s="506"/>
      <c r="E126" s="323" t="s">
        <v>440</v>
      </c>
      <c r="F126" s="336">
        <v>4.5199999999999996</v>
      </c>
      <c r="G126" s="512"/>
      <c r="H126" s="473"/>
      <c r="I126" s="459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</row>
    <row r="127" spans="1:26" s="280" customFormat="1" ht="15.6" customHeight="1" x14ac:dyDescent="0.3">
      <c r="A127" s="103"/>
      <c r="B127" s="465"/>
      <c r="C127" s="530"/>
      <c r="D127" s="504" t="s">
        <v>357</v>
      </c>
      <c r="E127" s="323" t="s">
        <v>442</v>
      </c>
      <c r="F127" s="335">
        <v>3.51</v>
      </c>
      <c r="G127" s="512">
        <f>SUM(F127:F130)</f>
        <v>43.230000000000004</v>
      </c>
      <c r="H127" s="473"/>
      <c r="I127" s="459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</row>
    <row r="128" spans="1:26" s="280" customFormat="1" ht="15.6" customHeight="1" x14ac:dyDescent="0.3">
      <c r="A128" s="103"/>
      <c r="B128" s="465"/>
      <c r="C128" s="530"/>
      <c r="D128" s="505"/>
      <c r="E128" s="339" t="s">
        <v>441</v>
      </c>
      <c r="F128" s="340">
        <v>15.45</v>
      </c>
      <c r="G128" s="512"/>
      <c r="H128" s="473"/>
      <c r="I128" s="459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</row>
    <row r="129" spans="1:26" s="280" customFormat="1" ht="15.6" customHeight="1" x14ac:dyDescent="0.3">
      <c r="A129" s="103"/>
      <c r="B129" s="465"/>
      <c r="C129" s="530"/>
      <c r="D129" s="505"/>
      <c r="E129" s="339" t="s">
        <v>443</v>
      </c>
      <c r="F129" s="348">
        <v>20.6</v>
      </c>
      <c r="G129" s="512"/>
      <c r="H129" s="473"/>
      <c r="I129" s="459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</row>
    <row r="130" spans="1:26" s="252" customFormat="1" ht="15.6" customHeight="1" x14ac:dyDescent="0.3">
      <c r="A130" s="103"/>
      <c r="B130" s="465"/>
      <c r="C130" s="530"/>
      <c r="D130" s="505"/>
      <c r="E130" s="339" t="s">
        <v>460</v>
      </c>
      <c r="F130" s="340">
        <v>3.67</v>
      </c>
      <c r="G130" s="512"/>
      <c r="H130" s="473"/>
      <c r="I130" s="459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</row>
    <row r="131" spans="1:26" s="252" customFormat="1" ht="15.6" customHeight="1" x14ac:dyDescent="0.3">
      <c r="A131" s="103"/>
      <c r="B131" s="465"/>
      <c r="C131" s="530"/>
      <c r="D131" s="505" t="s">
        <v>359</v>
      </c>
      <c r="E131" s="339" t="s">
        <v>438</v>
      </c>
      <c r="F131" s="340">
        <v>4.04</v>
      </c>
      <c r="G131" s="512">
        <f>SUM(F131:F134)</f>
        <v>42.2</v>
      </c>
      <c r="H131" s="473"/>
      <c r="I131" s="459"/>
      <c r="J131" s="282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</row>
    <row r="132" spans="1:26" s="273" customFormat="1" ht="15.6" customHeight="1" x14ac:dyDescent="0.3">
      <c r="A132" s="103"/>
      <c r="B132" s="465"/>
      <c r="C132" s="530"/>
      <c r="D132" s="505"/>
      <c r="E132" s="339" t="s">
        <v>441</v>
      </c>
      <c r="F132" s="340">
        <v>16.600000000000001</v>
      </c>
      <c r="G132" s="512"/>
      <c r="H132" s="473"/>
      <c r="I132" s="45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</row>
    <row r="133" spans="1:26" s="273" customFormat="1" ht="15.6" customHeight="1" x14ac:dyDescent="0.3">
      <c r="A133" s="103"/>
      <c r="B133" s="465"/>
      <c r="C133" s="530"/>
      <c r="D133" s="505"/>
      <c r="E133" s="339" t="s">
        <v>438</v>
      </c>
      <c r="F133" s="340">
        <v>4.18</v>
      </c>
      <c r="G133" s="512"/>
      <c r="H133" s="473"/>
      <c r="I133" s="459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</row>
    <row r="134" spans="1:26" s="273" customFormat="1" ht="15.6" customHeight="1" thickBot="1" x14ac:dyDescent="0.35">
      <c r="A134" s="103"/>
      <c r="B134" s="484"/>
      <c r="C134" s="486"/>
      <c r="D134" s="557"/>
      <c r="E134" s="349" t="s">
        <v>443</v>
      </c>
      <c r="F134" s="350">
        <v>17.38</v>
      </c>
      <c r="G134" s="558"/>
      <c r="H134" s="554"/>
      <c r="I134" s="552"/>
      <c r="J134" s="282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</row>
    <row r="135" spans="1:26" s="371" customFormat="1" ht="15.6" customHeight="1" thickTop="1" x14ac:dyDescent="0.3">
      <c r="A135" s="103"/>
      <c r="B135" s="487">
        <v>87249</v>
      </c>
      <c r="C135" s="589" t="s">
        <v>500</v>
      </c>
      <c r="D135" s="500" t="s">
        <v>351</v>
      </c>
      <c r="E135" s="352" t="s">
        <v>407</v>
      </c>
      <c r="F135" s="403">
        <v>4.21</v>
      </c>
      <c r="G135" s="541">
        <f>SUM(F135:F138)</f>
        <v>14.14</v>
      </c>
      <c r="H135" s="553">
        <f>SUM(G135:G150)</f>
        <v>62.199999999999996</v>
      </c>
      <c r="I135" s="555" t="s">
        <v>111</v>
      </c>
      <c r="J135" s="284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</row>
    <row r="136" spans="1:26" s="371" customFormat="1" ht="15.6" customHeight="1" x14ac:dyDescent="0.3">
      <c r="A136" s="103"/>
      <c r="B136" s="465"/>
      <c r="C136" s="468"/>
      <c r="D136" s="501"/>
      <c r="E136" s="330" t="s">
        <v>405</v>
      </c>
      <c r="F136" s="328">
        <v>2.86</v>
      </c>
      <c r="G136" s="512"/>
      <c r="H136" s="473"/>
      <c r="I136" s="45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</row>
    <row r="137" spans="1:26" s="371" customFormat="1" ht="15.6" customHeight="1" x14ac:dyDescent="0.3">
      <c r="A137" s="103"/>
      <c r="B137" s="465"/>
      <c r="C137" s="468"/>
      <c r="D137" s="501"/>
      <c r="E137" s="330" t="s">
        <v>409</v>
      </c>
      <c r="F137" s="328">
        <v>2.86</v>
      </c>
      <c r="G137" s="512"/>
      <c r="H137" s="473"/>
      <c r="I137" s="459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</row>
    <row r="138" spans="1:26" s="371" customFormat="1" ht="15.6" customHeight="1" x14ac:dyDescent="0.3">
      <c r="A138" s="103"/>
      <c r="B138" s="465"/>
      <c r="C138" s="468"/>
      <c r="D138" s="501"/>
      <c r="E138" s="330" t="s">
        <v>408</v>
      </c>
      <c r="F138" s="328">
        <f>4.12+0.09</f>
        <v>4.21</v>
      </c>
      <c r="G138" s="512"/>
      <c r="H138" s="473"/>
      <c r="I138" s="459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</row>
    <row r="139" spans="1:26" s="371" customFormat="1" ht="15.6" customHeight="1" x14ac:dyDescent="0.3">
      <c r="A139" s="103"/>
      <c r="B139" s="465"/>
      <c r="C139" s="468"/>
      <c r="D139" s="501" t="s">
        <v>352</v>
      </c>
      <c r="E139" s="330" t="s">
        <v>429</v>
      </c>
      <c r="F139" s="327">
        <v>3.36</v>
      </c>
      <c r="G139" s="512">
        <f>SUM(F139:F142)</f>
        <v>14.48</v>
      </c>
      <c r="H139" s="473"/>
      <c r="I139" s="459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</row>
    <row r="140" spans="1:26" s="371" customFormat="1" ht="15.6" customHeight="1" x14ac:dyDescent="0.3">
      <c r="A140" s="103"/>
      <c r="B140" s="465"/>
      <c r="C140" s="468"/>
      <c r="D140" s="501"/>
      <c r="E140" s="330" t="s">
        <v>430</v>
      </c>
      <c r="F140" s="327">
        <v>3.36</v>
      </c>
      <c r="G140" s="512"/>
      <c r="H140" s="473"/>
      <c r="I140" s="459"/>
      <c r="K140" s="103"/>
      <c r="L140" s="103"/>
      <c r="M140" s="103"/>
      <c r="N140" s="103">
        <v>345.56</v>
      </c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s="371" customFormat="1" ht="15.6" customHeight="1" x14ac:dyDescent="0.3">
      <c r="A141" s="103"/>
      <c r="B141" s="465"/>
      <c r="C141" s="468"/>
      <c r="D141" s="501"/>
      <c r="E141" s="330" t="s">
        <v>433</v>
      </c>
      <c r="F141" s="328">
        <v>4.03</v>
      </c>
      <c r="G141" s="512"/>
      <c r="H141" s="473"/>
      <c r="I141" s="459"/>
      <c r="J141" s="262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s="371" customFormat="1" ht="15.6" customHeight="1" x14ac:dyDescent="0.3">
      <c r="A142" s="103"/>
      <c r="B142" s="465"/>
      <c r="C142" s="468"/>
      <c r="D142" s="501"/>
      <c r="E142" s="330" t="s">
        <v>436</v>
      </c>
      <c r="F142" s="327">
        <v>3.73</v>
      </c>
      <c r="G142" s="512"/>
      <c r="H142" s="473"/>
      <c r="I142" s="459"/>
      <c r="J142" s="433" t="s">
        <v>533</v>
      </c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s="371" customFormat="1" ht="15.6" customHeight="1" x14ac:dyDescent="0.3">
      <c r="A143" s="103"/>
      <c r="B143" s="465"/>
      <c r="C143" s="468"/>
      <c r="D143" s="501" t="s">
        <v>353</v>
      </c>
      <c r="E143" s="330" t="s">
        <v>439</v>
      </c>
      <c r="F143" s="341">
        <v>4.5</v>
      </c>
      <c r="G143" s="512">
        <f>SUM(F143:F146)</f>
        <v>18.18</v>
      </c>
      <c r="H143" s="473"/>
      <c r="I143" s="459"/>
      <c r="J143" s="285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s="371" customFormat="1" ht="15.6" customHeight="1" x14ac:dyDescent="0.3">
      <c r="A144" s="103"/>
      <c r="B144" s="465"/>
      <c r="C144" s="468"/>
      <c r="D144" s="501"/>
      <c r="E144" s="330" t="s">
        <v>440</v>
      </c>
      <c r="F144" s="341">
        <v>4.5199999999999996</v>
      </c>
      <c r="G144" s="512"/>
      <c r="H144" s="473"/>
      <c r="I144" s="459"/>
      <c r="J144" s="285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s="371" customFormat="1" ht="15.6" customHeight="1" x14ac:dyDescent="0.3">
      <c r="A145" s="103"/>
      <c r="B145" s="465"/>
      <c r="C145" s="468"/>
      <c r="D145" s="501"/>
      <c r="E145" s="330" t="s">
        <v>438</v>
      </c>
      <c r="F145" s="341">
        <v>4.6399999999999997</v>
      </c>
      <c r="G145" s="512"/>
      <c r="H145" s="473"/>
      <c r="I145" s="459"/>
      <c r="J145" s="285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s="371" customFormat="1" ht="15.6" customHeight="1" x14ac:dyDescent="0.3">
      <c r="A146" s="103"/>
      <c r="B146" s="465"/>
      <c r="C146" s="468"/>
      <c r="D146" s="501"/>
      <c r="E146" s="330" t="s">
        <v>440</v>
      </c>
      <c r="F146" s="341">
        <v>4.5199999999999996</v>
      </c>
      <c r="G146" s="512"/>
      <c r="H146" s="473"/>
      <c r="I146" s="459"/>
      <c r="J146" s="285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s="371" customFormat="1" ht="15.6" customHeight="1" x14ac:dyDescent="0.3">
      <c r="A147" s="103"/>
      <c r="B147" s="465"/>
      <c r="C147" s="468"/>
      <c r="D147" s="501" t="s">
        <v>357</v>
      </c>
      <c r="E147" s="330" t="s">
        <v>442</v>
      </c>
      <c r="F147" s="328">
        <v>3.51</v>
      </c>
      <c r="G147" s="512">
        <f>SUM(F147:F148)</f>
        <v>7.18</v>
      </c>
      <c r="H147" s="473"/>
      <c r="I147" s="459"/>
      <c r="J147" s="285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s="371" customFormat="1" ht="15.6" customHeight="1" x14ac:dyDescent="0.3">
      <c r="A148" s="103"/>
      <c r="B148" s="465"/>
      <c r="C148" s="468"/>
      <c r="D148" s="501"/>
      <c r="E148" s="330" t="s">
        <v>460</v>
      </c>
      <c r="F148" s="327">
        <v>3.67</v>
      </c>
      <c r="G148" s="512"/>
      <c r="H148" s="473"/>
      <c r="I148" s="459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s="371" customFormat="1" ht="12.6" customHeight="1" x14ac:dyDescent="0.3">
      <c r="A149" s="103"/>
      <c r="B149" s="465"/>
      <c r="C149" s="468"/>
      <c r="D149" s="501" t="s">
        <v>359</v>
      </c>
      <c r="E149" s="330" t="s">
        <v>438</v>
      </c>
      <c r="F149" s="327">
        <v>4.04</v>
      </c>
      <c r="G149" s="512">
        <f>SUM(F149:F150)</f>
        <v>8.2199999999999989</v>
      </c>
      <c r="H149" s="473"/>
      <c r="I149" s="459"/>
      <c r="J149" s="282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s="371" customFormat="1" ht="12.6" customHeight="1" thickBot="1" x14ac:dyDescent="0.35">
      <c r="A150" s="103"/>
      <c r="B150" s="465"/>
      <c r="C150" s="468"/>
      <c r="D150" s="540"/>
      <c r="E150" s="405" t="s">
        <v>438</v>
      </c>
      <c r="F150" s="406">
        <v>4.18</v>
      </c>
      <c r="G150" s="512"/>
      <c r="H150" s="473"/>
      <c r="I150" s="459"/>
      <c r="J150" s="282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s="371" customFormat="1" ht="40.5" customHeight="1" thickTop="1" thickBot="1" x14ac:dyDescent="0.35">
      <c r="A151" s="103"/>
      <c r="B151" s="372">
        <v>87250</v>
      </c>
      <c r="C151" s="404" t="s">
        <v>501</v>
      </c>
      <c r="D151" s="408" t="s">
        <v>353</v>
      </c>
      <c r="E151" s="411" t="s">
        <v>438</v>
      </c>
      <c r="F151" s="412">
        <v>9.51</v>
      </c>
      <c r="G151" s="409">
        <f>SUM(F151:F151)</f>
        <v>9.51</v>
      </c>
      <c r="H151" s="418">
        <f>SUM(G151)</f>
        <v>9.51</v>
      </c>
      <c r="I151" s="407" t="s">
        <v>111</v>
      </c>
      <c r="J151" s="285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s="280" customFormat="1" ht="15.6" customHeight="1" thickTop="1" x14ac:dyDescent="0.3">
      <c r="A152" s="103"/>
      <c r="B152" s="487">
        <v>87251</v>
      </c>
      <c r="C152" s="485" t="s">
        <v>502</v>
      </c>
      <c r="D152" s="504" t="s">
        <v>352</v>
      </c>
      <c r="E152" s="333" t="s">
        <v>428</v>
      </c>
      <c r="F152" s="333">
        <v>30.1</v>
      </c>
      <c r="G152" s="502">
        <f>SUM(F152:F157)</f>
        <v>172.92</v>
      </c>
      <c r="H152" s="473">
        <f>SUM(G152:G163)</f>
        <v>273.85000000000002</v>
      </c>
      <c r="I152" s="459" t="s">
        <v>111</v>
      </c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s="280" customFormat="1" ht="15.6" customHeight="1" x14ac:dyDescent="0.3">
      <c r="A153" s="103"/>
      <c r="B153" s="465"/>
      <c r="C153" s="530"/>
      <c r="D153" s="505"/>
      <c r="E153" s="330" t="s">
        <v>431</v>
      </c>
      <c r="F153" s="327">
        <v>24.88</v>
      </c>
      <c r="G153" s="503"/>
      <c r="H153" s="473"/>
      <c r="I153" s="459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</row>
    <row r="154" spans="1:26" s="280" customFormat="1" ht="15.6" customHeight="1" x14ac:dyDescent="0.3">
      <c r="A154" s="103"/>
      <c r="B154" s="465"/>
      <c r="C154" s="530"/>
      <c r="D154" s="505"/>
      <c r="E154" s="330" t="s">
        <v>432</v>
      </c>
      <c r="F154" s="327">
        <v>12.18</v>
      </c>
      <c r="G154" s="503"/>
      <c r="H154" s="473"/>
      <c r="I154" s="459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</row>
    <row r="155" spans="1:26" s="252" customFormat="1" ht="15.6" customHeight="1" x14ac:dyDescent="0.3">
      <c r="A155" s="103"/>
      <c r="B155" s="465"/>
      <c r="C155" s="530"/>
      <c r="D155" s="505"/>
      <c r="E155" s="330" t="s">
        <v>434</v>
      </c>
      <c r="F155" s="327">
        <v>10.94</v>
      </c>
      <c r="G155" s="503"/>
      <c r="H155" s="473"/>
      <c r="I155" s="459"/>
      <c r="J155" s="284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</row>
    <row r="156" spans="1:26" s="280" customFormat="1" ht="15.6" customHeight="1" x14ac:dyDescent="0.3">
      <c r="A156" s="103"/>
      <c r="B156" s="465"/>
      <c r="C156" s="530"/>
      <c r="D156" s="505"/>
      <c r="E156" s="330" t="s">
        <v>435</v>
      </c>
      <c r="F156" s="327">
        <v>11.91</v>
      </c>
      <c r="G156" s="503"/>
      <c r="H156" s="473"/>
      <c r="I156" s="459"/>
      <c r="J156" s="285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</row>
    <row r="157" spans="1:26" s="280" customFormat="1" ht="15.6" customHeight="1" x14ac:dyDescent="0.3">
      <c r="A157" s="103"/>
      <c r="B157" s="465"/>
      <c r="C157" s="530"/>
      <c r="D157" s="506"/>
      <c r="E157" s="330" t="s">
        <v>437</v>
      </c>
      <c r="F157" s="327">
        <f>77.25+5.66</f>
        <v>82.91</v>
      </c>
      <c r="G157" s="503"/>
      <c r="H157" s="473"/>
      <c r="I157" s="459"/>
      <c r="J157" s="285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</row>
    <row r="158" spans="1:26" s="280" customFormat="1" ht="15" customHeight="1" x14ac:dyDescent="0.3">
      <c r="A158" s="103"/>
      <c r="B158" s="465"/>
      <c r="C158" s="530"/>
      <c r="D158" s="540" t="s">
        <v>353</v>
      </c>
      <c r="E158" s="330" t="s">
        <v>429</v>
      </c>
      <c r="F158" s="341">
        <v>15.45</v>
      </c>
      <c r="G158" s="503">
        <f>SUM(F158:F159)</f>
        <v>30.9</v>
      </c>
      <c r="H158" s="473"/>
      <c r="I158" s="459"/>
      <c r="J158" s="285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</row>
    <row r="159" spans="1:26" s="252" customFormat="1" ht="15.6" customHeight="1" x14ac:dyDescent="0.3">
      <c r="A159" s="103"/>
      <c r="B159" s="465"/>
      <c r="C159" s="530"/>
      <c r="D159" s="538"/>
      <c r="E159" s="330" t="s">
        <v>430</v>
      </c>
      <c r="F159" s="341">
        <v>15.45</v>
      </c>
      <c r="G159" s="503"/>
      <c r="H159" s="473"/>
      <c r="I159" s="459"/>
      <c r="J159" s="284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</row>
    <row r="160" spans="1:26" s="280" customFormat="1" ht="15.6" customHeight="1" x14ac:dyDescent="0.3">
      <c r="A160" s="103"/>
      <c r="B160" s="465"/>
      <c r="C160" s="530"/>
      <c r="D160" s="540" t="s">
        <v>357</v>
      </c>
      <c r="E160" s="330" t="s">
        <v>441</v>
      </c>
      <c r="F160" s="327">
        <v>15.45</v>
      </c>
      <c r="G160" s="503">
        <f>SUM(F160:F161)</f>
        <v>36.049999999999997</v>
      </c>
      <c r="H160" s="473"/>
      <c r="I160" s="459"/>
      <c r="J160" s="285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</row>
    <row r="161" spans="1:26" s="280" customFormat="1" ht="15.6" customHeight="1" x14ac:dyDescent="0.3">
      <c r="A161" s="103"/>
      <c r="B161" s="465"/>
      <c r="C161" s="530"/>
      <c r="D161" s="537"/>
      <c r="E161" s="330" t="s">
        <v>443</v>
      </c>
      <c r="F161" s="328">
        <v>20.6</v>
      </c>
      <c r="G161" s="503"/>
      <c r="H161" s="473"/>
      <c r="I161" s="459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</row>
    <row r="162" spans="1:26" s="283" customFormat="1" ht="12.6" customHeight="1" x14ac:dyDescent="0.3">
      <c r="A162" s="103"/>
      <c r="B162" s="465"/>
      <c r="C162" s="530"/>
      <c r="D162" s="537" t="s">
        <v>359</v>
      </c>
      <c r="E162" s="330" t="s">
        <v>441</v>
      </c>
      <c r="F162" s="327">
        <v>16.600000000000001</v>
      </c>
      <c r="G162" s="503">
        <f>SUM(F162:F163)</f>
        <v>33.980000000000004</v>
      </c>
      <c r="H162" s="473"/>
      <c r="I162" s="459"/>
      <c r="J162" s="572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</row>
    <row r="163" spans="1:26" s="283" customFormat="1" ht="12.6" customHeight="1" thickBot="1" x14ac:dyDescent="0.35">
      <c r="A163" s="103"/>
      <c r="B163" s="466"/>
      <c r="C163" s="531"/>
      <c r="D163" s="588"/>
      <c r="E163" s="377" t="s">
        <v>443</v>
      </c>
      <c r="F163" s="410">
        <v>17.38</v>
      </c>
      <c r="G163" s="586"/>
      <c r="H163" s="474"/>
      <c r="I163" s="460"/>
      <c r="J163" s="572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</row>
    <row r="164" spans="1:26" s="318" customFormat="1" ht="15.6" customHeight="1" thickTop="1" x14ac:dyDescent="0.3">
      <c r="A164" s="103"/>
      <c r="B164" s="464">
        <v>94990</v>
      </c>
      <c r="C164" s="467" t="s">
        <v>474</v>
      </c>
      <c r="D164" s="351" t="s">
        <v>475</v>
      </c>
      <c r="E164" s="352" t="s">
        <v>195</v>
      </c>
      <c r="F164" s="353">
        <v>104.18</v>
      </c>
      <c r="G164" s="354">
        <f>SUM(F164:F164)</f>
        <v>104.18</v>
      </c>
      <c r="H164" s="472">
        <f>SUM(G164:G173)*0.1</f>
        <v>120.30200000000001</v>
      </c>
      <c r="I164" s="458" t="s">
        <v>121</v>
      </c>
      <c r="J164" s="572"/>
      <c r="K164" s="103"/>
      <c r="L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</row>
    <row r="165" spans="1:26" s="318" customFormat="1" ht="15.6" customHeight="1" x14ac:dyDescent="0.3">
      <c r="A165" s="103"/>
      <c r="B165" s="465"/>
      <c r="C165" s="468"/>
      <c r="D165" s="501" t="s">
        <v>351</v>
      </c>
      <c r="E165" s="330" t="s">
        <v>195</v>
      </c>
      <c r="F165" s="331">
        <v>60.39</v>
      </c>
      <c r="G165" s="562">
        <f>SUM(F165:F166)</f>
        <v>128.43</v>
      </c>
      <c r="H165" s="473"/>
      <c r="I165" s="459"/>
      <c r="J165" s="572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</row>
    <row r="166" spans="1:26" s="318" customFormat="1" ht="15.6" customHeight="1" x14ac:dyDescent="0.3">
      <c r="A166" s="103"/>
      <c r="B166" s="465"/>
      <c r="C166" s="468"/>
      <c r="D166" s="501"/>
      <c r="E166" s="330" t="s">
        <v>478</v>
      </c>
      <c r="F166" s="331">
        <v>68.040000000000006</v>
      </c>
      <c r="G166" s="563"/>
      <c r="H166" s="473"/>
      <c r="I166" s="459"/>
      <c r="J166" s="572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</row>
    <row r="167" spans="1:26" s="318" customFormat="1" ht="15.6" customHeight="1" x14ac:dyDescent="0.3">
      <c r="A167" s="103"/>
      <c r="B167" s="465"/>
      <c r="C167" s="468"/>
      <c r="D167" s="355" t="s">
        <v>355</v>
      </c>
      <c r="E167" s="330" t="s">
        <v>195</v>
      </c>
      <c r="F167" s="331">
        <v>150.19</v>
      </c>
      <c r="G167" s="332">
        <f>SUM(F167:F167)</f>
        <v>150.19</v>
      </c>
      <c r="H167" s="473"/>
      <c r="I167" s="459"/>
      <c r="J167" s="572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</row>
    <row r="168" spans="1:26" s="318" customFormat="1" ht="15.6" customHeight="1" x14ac:dyDescent="0.3">
      <c r="A168" s="103"/>
      <c r="B168" s="465"/>
      <c r="C168" s="468"/>
      <c r="D168" s="501" t="s">
        <v>352</v>
      </c>
      <c r="E168" s="330" t="s">
        <v>476</v>
      </c>
      <c r="F168" s="333">
        <v>15.04</v>
      </c>
      <c r="G168" s="535">
        <f>SUM(F168:F169)</f>
        <v>86.88</v>
      </c>
      <c r="H168" s="473"/>
      <c r="I168" s="459"/>
      <c r="J168" s="572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</row>
    <row r="169" spans="1:26" s="318" customFormat="1" ht="15.6" customHeight="1" x14ac:dyDescent="0.3">
      <c r="A169" s="103"/>
      <c r="B169" s="465"/>
      <c r="C169" s="468"/>
      <c r="D169" s="501"/>
      <c r="E169" s="330" t="s">
        <v>477</v>
      </c>
      <c r="F169" s="328">
        <v>71.84</v>
      </c>
      <c r="G169" s="535"/>
      <c r="H169" s="473"/>
      <c r="I169" s="459"/>
      <c r="J169" s="572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</row>
    <row r="170" spans="1:26" s="318" customFormat="1" ht="15.6" customHeight="1" x14ac:dyDescent="0.3">
      <c r="A170" s="103"/>
      <c r="B170" s="465"/>
      <c r="C170" s="468"/>
      <c r="D170" s="355" t="s">
        <v>357</v>
      </c>
      <c r="E170" s="330" t="s">
        <v>195</v>
      </c>
      <c r="F170" s="328">
        <v>53.27</v>
      </c>
      <c r="G170" s="356">
        <f>SUM(F170:F170)</f>
        <v>53.27</v>
      </c>
      <c r="H170" s="473"/>
      <c r="I170" s="459"/>
      <c r="J170" s="572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</row>
    <row r="171" spans="1:26" s="318" customFormat="1" ht="15.6" customHeight="1" x14ac:dyDescent="0.3">
      <c r="A171" s="103"/>
      <c r="B171" s="465"/>
      <c r="C171" s="468"/>
      <c r="D171" s="355" t="s">
        <v>356</v>
      </c>
      <c r="E171" s="330" t="s">
        <v>195</v>
      </c>
      <c r="F171" s="333">
        <v>26.93</v>
      </c>
      <c r="G171" s="332">
        <f>F171</f>
        <v>26.93</v>
      </c>
      <c r="H171" s="473"/>
      <c r="I171" s="459"/>
      <c r="J171" s="572"/>
      <c r="K171" s="103"/>
      <c r="L171" s="103">
        <f>94.61+498.95+95.95+48.52+74.83+187.42+75.39+24.89+26.45+25.94</f>
        <v>1152.9500000000003</v>
      </c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s="371" customFormat="1" ht="14.4" x14ac:dyDescent="0.3">
      <c r="A172" s="103"/>
      <c r="B172" s="465"/>
      <c r="C172" s="468"/>
      <c r="D172" s="322" t="s">
        <v>391</v>
      </c>
      <c r="E172" s="323" t="s">
        <v>457</v>
      </c>
      <c r="F172" s="336">
        <v>632.26</v>
      </c>
      <c r="G172" s="413">
        <f>F172</f>
        <v>632.26</v>
      </c>
      <c r="H172" s="473"/>
      <c r="I172" s="459"/>
      <c r="J172" s="572"/>
      <c r="K172" s="104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s="318" customFormat="1" ht="15.6" customHeight="1" thickBot="1" x14ac:dyDescent="0.35">
      <c r="A173" s="103"/>
      <c r="B173" s="465"/>
      <c r="C173" s="468"/>
      <c r="D173" s="357" t="s">
        <v>473</v>
      </c>
      <c r="E173" s="358" t="s">
        <v>371</v>
      </c>
      <c r="F173" s="359">
        <v>20.88</v>
      </c>
      <c r="G173" s="360">
        <f>F173</f>
        <v>20.88</v>
      </c>
      <c r="H173" s="473"/>
      <c r="I173" s="459"/>
      <c r="J173" s="572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s="283" customFormat="1" ht="12.6" customHeight="1" thickTop="1" x14ac:dyDescent="0.3">
      <c r="A174" s="103"/>
      <c r="B174" s="487" t="s">
        <v>464</v>
      </c>
      <c r="C174" s="488" t="s">
        <v>463</v>
      </c>
      <c r="D174" s="373" t="s">
        <v>352</v>
      </c>
      <c r="E174" s="374" t="s">
        <v>428</v>
      </c>
      <c r="F174" s="375">
        <f>(24.775+4.7)-(4*0.93)</f>
        <v>25.754999999999999</v>
      </c>
      <c r="G174" s="376">
        <f>SUM(F174:F174)</f>
        <v>25.754999999999999</v>
      </c>
      <c r="H174" s="553">
        <f>SUM(G174:G179)</f>
        <v>67.605000000000004</v>
      </c>
      <c r="I174" s="555" t="s">
        <v>73</v>
      </c>
      <c r="J174" s="572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s="283" customFormat="1" ht="12.6" customHeight="1" x14ac:dyDescent="0.3">
      <c r="A175" s="103"/>
      <c r="B175" s="465"/>
      <c r="C175" s="489"/>
      <c r="D175" s="501" t="s">
        <v>353</v>
      </c>
      <c r="E175" s="330" t="s">
        <v>438</v>
      </c>
      <c r="F175" s="333">
        <f>12.7-0.93</f>
        <v>11.77</v>
      </c>
      <c r="G175" s="503">
        <f>SUM(F175:F177)</f>
        <v>27.31</v>
      </c>
      <c r="H175" s="473"/>
      <c r="I175" s="459"/>
      <c r="J175" s="572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s="283" customFormat="1" ht="12.6" customHeight="1" x14ac:dyDescent="0.3">
      <c r="A176" s="103"/>
      <c r="B176" s="465"/>
      <c r="C176" s="489"/>
      <c r="D176" s="501"/>
      <c r="E176" s="330" t="s">
        <v>439</v>
      </c>
      <c r="F176" s="341">
        <f>8.6-0.93</f>
        <v>7.67</v>
      </c>
      <c r="G176" s="503"/>
      <c r="H176" s="473"/>
      <c r="I176" s="459"/>
      <c r="J176" s="572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s="283" customFormat="1" ht="12.6" customHeight="1" x14ac:dyDescent="0.3">
      <c r="A177" s="103"/>
      <c r="B177" s="465"/>
      <c r="C177" s="489"/>
      <c r="D177" s="501"/>
      <c r="E177" s="330" t="s">
        <v>438</v>
      </c>
      <c r="F177" s="341">
        <f>8.8-0.93</f>
        <v>7.870000000000001</v>
      </c>
      <c r="G177" s="503"/>
      <c r="H177" s="473"/>
      <c r="I177" s="459"/>
      <c r="J177" s="572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s="283" customFormat="1" ht="12.6" customHeight="1" x14ac:dyDescent="0.3">
      <c r="A178" s="103"/>
      <c r="B178" s="465"/>
      <c r="C178" s="489"/>
      <c r="D178" s="501" t="s">
        <v>359</v>
      </c>
      <c r="E178" s="330" t="s">
        <v>438</v>
      </c>
      <c r="F178" s="327">
        <f>8.15-0.93</f>
        <v>7.2200000000000006</v>
      </c>
      <c r="G178" s="503">
        <f>SUM(F178:F179)</f>
        <v>14.540000000000001</v>
      </c>
      <c r="H178" s="473"/>
      <c r="I178" s="459"/>
      <c r="J178" s="572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s="283" customFormat="1" ht="12.6" customHeight="1" thickBot="1" x14ac:dyDescent="0.35">
      <c r="A179" s="103"/>
      <c r="B179" s="466"/>
      <c r="C179" s="490"/>
      <c r="D179" s="540"/>
      <c r="E179" s="377" t="s">
        <v>438</v>
      </c>
      <c r="F179" s="378">
        <f>8.25-0.93</f>
        <v>7.32</v>
      </c>
      <c r="G179" s="573"/>
      <c r="H179" s="554"/>
      <c r="I179" s="552"/>
      <c r="J179" s="572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s="283" customFormat="1" ht="12.6" customHeight="1" thickTop="1" x14ac:dyDescent="0.3">
      <c r="A180" s="103"/>
      <c r="B180" s="590">
        <v>101741</v>
      </c>
      <c r="C180" s="485" t="s">
        <v>479</v>
      </c>
      <c r="D180" s="500" t="s">
        <v>351</v>
      </c>
      <c r="E180" s="379" t="s">
        <v>400</v>
      </c>
      <c r="F180" s="380">
        <f>31.63-0.92</f>
        <v>30.709999999999997</v>
      </c>
      <c r="G180" s="502">
        <f>SUM(F180:F186)</f>
        <v>153.62</v>
      </c>
      <c r="H180" s="553">
        <f>SUM(G180:G210)</f>
        <v>953.06</v>
      </c>
      <c r="I180" s="555" t="s">
        <v>73</v>
      </c>
      <c r="J180" s="572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s="283" customFormat="1" ht="12.6" customHeight="1" x14ac:dyDescent="0.3">
      <c r="A181" s="103"/>
      <c r="B181" s="591"/>
      <c r="C181" s="530"/>
      <c r="D181" s="501"/>
      <c r="E181" s="330" t="s">
        <v>401</v>
      </c>
      <c r="F181" s="328">
        <f>15.3-0.92</f>
        <v>14.38</v>
      </c>
      <c r="G181" s="503"/>
      <c r="H181" s="473"/>
      <c r="I181" s="459"/>
      <c r="J181" s="572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s="283" customFormat="1" ht="12.6" customHeight="1" x14ac:dyDescent="0.3">
      <c r="A182" s="103"/>
      <c r="B182" s="591"/>
      <c r="C182" s="530"/>
      <c r="D182" s="501"/>
      <c r="E182" s="330" t="s">
        <v>402</v>
      </c>
      <c r="F182" s="328">
        <f>29.88-(2*0.92)</f>
        <v>28.04</v>
      </c>
      <c r="G182" s="503"/>
      <c r="H182" s="473"/>
      <c r="I182" s="459"/>
      <c r="J182" s="572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s="306" customFormat="1" ht="12.6" customHeight="1" x14ac:dyDescent="0.3">
      <c r="A183" s="103"/>
      <c r="B183" s="591"/>
      <c r="C183" s="530"/>
      <c r="D183" s="501"/>
      <c r="E183" s="330" t="s">
        <v>403</v>
      </c>
      <c r="F183" s="328">
        <f>15.25-(2*0.92)</f>
        <v>13.41</v>
      </c>
      <c r="G183" s="503"/>
      <c r="H183" s="473"/>
      <c r="I183" s="459"/>
      <c r="J183" s="572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s="283" customFormat="1" ht="12.6" customHeight="1" x14ac:dyDescent="0.3">
      <c r="A184" s="103"/>
      <c r="B184" s="591"/>
      <c r="C184" s="530"/>
      <c r="D184" s="501"/>
      <c r="E184" s="330" t="s">
        <v>404</v>
      </c>
      <c r="F184" s="328">
        <f>15.3-(2*0.92)</f>
        <v>13.46</v>
      </c>
      <c r="G184" s="503"/>
      <c r="H184" s="473"/>
      <c r="I184" s="459"/>
      <c r="J184" s="572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</row>
    <row r="185" spans="1:26" s="283" customFormat="1" ht="12.6" customHeight="1" x14ac:dyDescent="0.3">
      <c r="A185" s="103"/>
      <c r="B185" s="591"/>
      <c r="C185" s="530"/>
      <c r="D185" s="501"/>
      <c r="E185" s="330" t="s">
        <v>406</v>
      </c>
      <c r="F185" s="328">
        <f>15.25-0.92</f>
        <v>14.33</v>
      </c>
      <c r="G185" s="503"/>
      <c r="H185" s="473"/>
      <c r="I185" s="459"/>
      <c r="J185" s="572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</row>
    <row r="186" spans="1:26" s="361" customFormat="1" ht="12.6" customHeight="1" x14ac:dyDescent="0.3">
      <c r="A186" s="103"/>
      <c r="B186" s="591"/>
      <c r="C186" s="530"/>
      <c r="D186" s="501"/>
      <c r="E186" s="330" t="s">
        <v>480</v>
      </c>
      <c r="F186" s="328">
        <f>51.07-3.5-0.92*9</f>
        <v>39.29</v>
      </c>
      <c r="G186" s="503"/>
      <c r="H186" s="473"/>
      <c r="I186" s="459"/>
      <c r="J186" s="572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</row>
    <row r="187" spans="1:26" s="283" customFormat="1" ht="12.6" customHeight="1" x14ac:dyDescent="0.3">
      <c r="A187" s="103"/>
      <c r="B187" s="591"/>
      <c r="C187" s="530"/>
      <c r="D187" s="501" t="s">
        <v>354</v>
      </c>
      <c r="E187" s="330" t="s">
        <v>410</v>
      </c>
      <c r="F187" s="328">
        <f>39.4+0.4-4.2</f>
        <v>35.599999999999994</v>
      </c>
      <c r="G187" s="503">
        <f>F187+F188</f>
        <v>74.399999999999991</v>
      </c>
      <c r="H187" s="473"/>
      <c r="I187" s="459"/>
      <c r="J187" s="572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</row>
    <row r="188" spans="1:26" s="283" customFormat="1" ht="12.6" customHeight="1" x14ac:dyDescent="0.3">
      <c r="A188" s="103"/>
      <c r="B188" s="591"/>
      <c r="C188" s="530"/>
      <c r="D188" s="501"/>
      <c r="E188" s="330" t="s">
        <v>458</v>
      </c>
      <c r="F188" s="328">
        <f>43-4.2</f>
        <v>38.799999999999997</v>
      </c>
      <c r="G188" s="503"/>
      <c r="H188" s="473"/>
      <c r="I188" s="459"/>
      <c r="J188" s="572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</row>
    <row r="189" spans="1:26" s="283" customFormat="1" ht="12.6" customHeight="1" x14ac:dyDescent="0.3">
      <c r="A189" s="103"/>
      <c r="B189" s="591"/>
      <c r="C189" s="530"/>
      <c r="D189" s="501" t="s">
        <v>355</v>
      </c>
      <c r="E189" s="330" t="s">
        <v>411</v>
      </c>
      <c r="F189" s="328">
        <f>33.3-(6.95+4.2+1.7)</f>
        <v>20.449999999999996</v>
      </c>
      <c r="G189" s="503">
        <f>SUM(F189:F193)</f>
        <v>101.74999999999999</v>
      </c>
      <c r="H189" s="473"/>
      <c r="I189" s="459"/>
      <c r="J189" s="572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</row>
    <row r="190" spans="1:26" s="283" customFormat="1" ht="12.6" customHeight="1" x14ac:dyDescent="0.3">
      <c r="A190" s="103"/>
      <c r="B190" s="591"/>
      <c r="C190" s="530"/>
      <c r="D190" s="501"/>
      <c r="E190" s="330" t="s">
        <v>412</v>
      </c>
      <c r="F190" s="328">
        <f>33.3-(6.95+6.95+4.2+1.7)</f>
        <v>13.499999999999996</v>
      </c>
      <c r="G190" s="503"/>
      <c r="H190" s="473"/>
      <c r="I190" s="459"/>
      <c r="J190" s="572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</row>
    <row r="191" spans="1:26" s="283" customFormat="1" ht="12.6" customHeight="1" x14ac:dyDescent="0.3">
      <c r="A191" s="103"/>
      <c r="B191" s="591"/>
      <c r="C191" s="530"/>
      <c r="D191" s="501"/>
      <c r="E191" s="330" t="s">
        <v>413</v>
      </c>
      <c r="F191" s="328">
        <f>33.15-(6.95+4.2+1.7)</f>
        <v>20.299999999999997</v>
      </c>
      <c r="G191" s="503"/>
      <c r="H191" s="473"/>
      <c r="I191" s="459"/>
      <c r="J191" s="572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</row>
    <row r="192" spans="1:26" s="283" customFormat="1" ht="12.6" customHeight="1" x14ac:dyDescent="0.3">
      <c r="A192" s="103"/>
      <c r="B192" s="591"/>
      <c r="C192" s="530"/>
      <c r="D192" s="501"/>
      <c r="E192" s="330" t="s">
        <v>414</v>
      </c>
      <c r="F192" s="328">
        <f>23.35-(2.35+1.7)</f>
        <v>19.3</v>
      </c>
      <c r="G192" s="503"/>
      <c r="H192" s="473"/>
      <c r="I192" s="459"/>
      <c r="J192" s="572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</row>
    <row r="193" spans="1:26" s="361" customFormat="1" ht="12.6" customHeight="1" x14ac:dyDescent="0.3">
      <c r="A193" s="103"/>
      <c r="B193" s="591"/>
      <c r="C193" s="530"/>
      <c r="D193" s="501"/>
      <c r="E193" s="330" t="s">
        <v>480</v>
      </c>
      <c r="F193" s="328">
        <f>28.2</f>
        <v>28.2</v>
      </c>
      <c r="G193" s="503"/>
      <c r="H193" s="473"/>
      <c r="I193" s="459"/>
      <c r="J193" s="572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</row>
    <row r="194" spans="1:26" s="283" customFormat="1" ht="12.6" customHeight="1" x14ac:dyDescent="0.3">
      <c r="A194" s="103"/>
      <c r="B194" s="591"/>
      <c r="C194" s="530"/>
      <c r="D194" s="501" t="s">
        <v>356</v>
      </c>
      <c r="E194" s="330" t="s">
        <v>415</v>
      </c>
      <c r="F194" s="328">
        <f>35.95-(0.92+1.7)</f>
        <v>33.330000000000005</v>
      </c>
      <c r="G194" s="503">
        <f>SUM(F194:F196)</f>
        <v>97.190000000000012</v>
      </c>
      <c r="H194" s="473"/>
      <c r="I194" s="459"/>
      <c r="J194" s="572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</row>
    <row r="195" spans="1:26" s="283" customFormat="1" ht="12.6" customHeight="1" x14ac:dyDescent="0.3">
      <c r="A195" s="103"/>
      <c r="B195" s="591"/>
      <c r="C195" s="530"/>
      <c r="D195" s="501"/>
      <c r="E195" s="330" t="s">
        <v>416</v>
      </c>
      <c r="F195" s="328">
        <f>35.75-(0.92+1.7)</f>
        <v>33.130000000000003</v>
      </c>
      <c r="G195" s="503"/>
      <c r="H195" s="473"/>
      <c r="I195" s="459"/>
      <c r="J195" s="572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</row>
    <row r="196" spans="1:26" s="361" customFormat="1" ht="12.6" customHeight="1" x14ac:dyDescent="0.3">
      <c r="A196" s="103"/>
      <c r="B196" s="591"/>
      <c r="C196" s="530"/>
      <c r="D196" s="501"/>
      <c r="E196" s="330" t="s">
        <v>480</v>
      </c>
      <c r="F196" s="328">
        <f>32.57-0.92*2</f>
        <v>30.73</v>
      </c>
      <c r="G196" s="503"/>
      <c r="H196" s="473"/>
      <c r="I196" s="459"/>
      <c r="J196" s="572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</row>
    <row r="197" spans="1:26" s="283" customFormat="1" ht="12.6" customHeight="1" x14ac:dyDescent="0.3">
      <c r="A197" s="103"/>
      <c r="B197" s="591"/>
      <c r="C197" s="530"/>
      <c r="D197" s="501" t="s">
        <v>357</v>
      </c>
      <c r="E197" s="330" t="s">
        <v>417</v>
      </c>
      <c r="F197" s="328">
        <f>35.3-(0.92+1.7)</f>
        <v>32.68</v>
      </c>
      <c r="G197" s="503">
        <f>SUM(F197:F200)</f>
        <v>154.33000000000001</v>
      </c>
      <c r="H197" s="473"/>
      <c r="I197" s="459"/>
      <c r="J197" s="572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</row>
    <row r="198" spans="1:26" s="283" customFormat="1" ht="12.6" customHeight="1" x14ac:dyDescent="0.3">
      <c r="A198" s="103"/>
      <c r="B198" s="591"/>
      <c r="C198" s="530"/>
      <c r="D198" s="501"/>
      <c r="E198" s="330" t="s">
        <v>418</v>
      </c>
      <c r="F198" s="381">
        <f>35.85-(0.92+1.7)</f>
        <v>33.230000000000004</v>
      </c>
      <c r="G198" s="503"/>
      <c r="H198" s="473"/>
      <c r="I198" s="459"/>
      <c r="J198" s="572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</row>
    <row r="199" spans="1:26" s="283" customFormat="1" ht="12.6" customHeight="1" x14ac:dyDescent="0.3">
      <c r="A199" s="103"/>
      <c r="B199" s="591"/>
      <c r="C199" s="530"/>
      <c r="D199" s="501"/>
      <c r="E199" s="330" t="s">
        <v>419</v>
      </c>
      <c r="F199" s="381">
        <f>36.05-(0.92+1.7)</f>
        <v>33.43</v>
      </c>
      <c r="G199" s="503"/>
      <c r="H199" s="473"/>
      <c r="I199" s="459"/>
      <c r="J199" s="572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</row>
    <row r="200" spans="1:26" s="361" customFormat="1" ht="12.6" customHeight="1" x14ac:dyDescent="0.3">
      <c r="A200" s="103"/>
      <c r="B200" s="591"/>
      <c r="C200" s="530"/>
      <c r="D200" s="501"/>
      <c r="E200" s="330" t="s">
        <v>480</v>
      </c>
      <c r="F200" s="328">
        <f>61.43-0.92*7</f>
        <v>54.99</v>
      </c>
      <c r="G200" s="503"/>
      <c r="H200" s="473"/>
      <c r="I200" s="459"/>
      <c r="J200" s="572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</row>
    <row r="201" spans="1:26" s="283" customFormat="1" ht="12.6" customHeight="1" x14ac:dyDescent="0.3">
      <c r="A201" s="103"/>
      <c r="B201" s="591"/>
      <c r="C201" s="530"/>
      <c r="D201" s="501" t="s">
        <v>358</v>
      </c>
      <c r="E201" s="330" t="s">
        <v>420</v>
      </c>
      <c r="F201" s="328">
        <f>35.95-(0.92+1.7)</f>
        <v>33.330000000000005</v>
      </c>
      <c r="G201" s="503">
        <f>SUM(F201:F205)</f>
        <v>182.54000000000002</v>
      </c>
      <c r="H201" s="473"/>
      <c r="I201" s="459"/>
      <c r="J201" s="572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s="283" customFormat="1" ht="12.6" customHeight="1" x14ac:dyDescent="0.3">
      <c r="A202" s="103"/>
      <c r="B202" s="591"/>
      <c r="C202" s="530"/>
      <c r="D202" s="501"/>
      <c r="E202" s="330" t="s">
        <v>421</v>
      </c>
      <c r="F202" s="328">
        <f>35.75-0.92-1.7</f>
        <v>33.129999999999995</v>
      </c>
      <c r="G202" s="503"/>
      <c r="H202" s="473"/>
      <c r="I202" s="459"/>
      <c r="J202" s="572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s="283" customFormat="1" ht="12.6" customHeight="1" x14ac:dyDescent="0.3">
      <c r="A203" s="103"/>
      <c r="B203" s="591"/>
      <c r="C203" s="530"/>
      <c r="D203" s="501"/>
      <c r="E203" s="330" t="s">
        <v>422</v>
      </c>
      <c r="F203" s="328">
        <f>35.95-0.92-1.7</f>
        <v>33.33</v>
      </c>
      <c r="G203" s="503"/>
      <c r="H203" s="473"/>
      <c r="I203" s="459"/>
      <c r="J203" s="572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s="283" customFormat="1" ht="12.6" customHeight="1" x14ac:dyDescent="0.3">
      <c r="A204" s="103"/>
      <c r="B204" s="591"/>
      <c r="C204" s="530"/>
      <c r="D204" s="501"/>
      <c r="E204" s="330" t="s">
        <v>423</v>
      </c>
      <c r="F204" s="328">
        <f>35.75-0.92-1.7</f>
        <v>33.129999999999995</v>
      </c>
      <c r="G204" s="503"/>
      <c r="H204" s="473"/>
      <c r="I204" s="459"/>
      <c r="J204" s="572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</row>
    <row r="205" spans="1:26" s="361" customFormat="1" ht="12.6" customHeight="1" x14ac:dyDescent="0.3">
      <c r="A205" s="103"/>
      <c r="B205" s="591"/>
      <c r="C205" s="530"/>
      <c r="D205" s="501"/>
      <c r="E205" s="330" t="s">
        <v>480</v>
      </c>
      <c r="F205" s="328">
        <f>53.3-0.92*4</f>
        <v>49.62</v>
      </c>
      <c r="G205" s="503"/>
      <c r="H205" s="473"/>
      <c r="I205" s="459"/>
      <c r="J205" s="366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</row>
    <row r="206" spans="1:26" s="251" customFormat="1" ht="14.4" x14ac:dyDescent="0.3">
      <c r="A206" s="103"/>
      <c r="B206" s="591"/>
      <c r="C206" s="530"/>
      <c r="D206" s="570" t="s">
        <v>359</v>
      </c>
      <c r="E206" s="330" t="s">
        <v>424</v>
      </c>
      <c r="F206" s="328">
        <f>35.95-0.92-1.7</f>
        <v>33.33</v>
      </c>
      <c r="G206" s="503">
        <f>SUM(F206:F210)</f>
        <v>189.23000000000002</v>
      </c>
      <c r="H206" s="473"/>
      <c r="I206" s="459"/>
      <c r="J206" s="572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</row>
    <row r="207" spans="1:26" s="305" customFormat="1" ht="14.4" x14ac:dyDescent="0.3">
      <c r="A207" s="103"/>
      <c r="B207" s="591"/>
      <c r="C207" s="530"/>
      <c r="D207" s="570"/>
      <c r="E207" s="330" t="s">
        <v>425</v>
      </c>
      <c r="F207" s="328">
        <f>35.75-(0.92+1.7)</f>
        <v>33.130000000000003</v>
      </c>
      <c r="G207" s="503"/>
      <c r="H207" s="473"/>
      <c r="I207" s="459"/>
      <c r="J207" s="572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s="305" customFormat="1" ht="15.75" customHeight="1" x14ac:dyDescent="0.3">
      <c r="A208" s="103"/>
      <c r="B208" s="591"/>
      <c r="C208" s="530"/>
      <c r="D208" s="570"/>
      <c r="E208" s="330" t="s">
        <v>426</v>
      </c>
      <c r="F208" s="328">
        <f>35.95-(0.92+1.7)</f>
        <v>33.330000000000005</v>
      </c>
      <c r="G208" s="503"/>
      <c r="H208" s="473"/>
      <c r="I208" s="459"/>
      <c r="J208" s="572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s="305" customFormat="1" ht="14.4" x14ac:dyDescent="0.3">
      <c r="A209" s="103"/>
      <c r="B209" s="591"/>
      <c r="C209" s="530"/>
      <c r="D209" s="570"/>
      <c r="E209" s="330" t="s">
        <v>427</v>
      </c>
      <c r="F209" s="328">
        <f>36.15-(0.92+1.7)</f>
        <v>33.53</v>
      </c>
      <c r="G209" s="503"/>
      <c r="H209" s="473"/>
      <c r="I209" s="459"/>
      <c r="J209" s="572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s="361" customFormat="1" ht="12.6" customHeight="1" thickBot="1" x14ac:dyDescent="0.35">
      <c r="A210" s="103"/>
      <c r="B210" s="592"/>
      <c r="C210" s="486"/>
      <c r="D210" s="585"/>
      <c r="E210" s="377" t="s">
        <v>480</v>
      </c>
      <c r="F210" s="382">
        <f>63.27-0.92*8</f>
        <v>55.910000000000004</v>
      </c>
      <c r="G210" s="586"/>
      <c r="H210" s="554"/>
      <c r="I210" s="552"/>
      <c r="J210" s="572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</row>
    <row r="211" spans="1:26" s="305" customFormat="1" thickTop="1" x14ac:dyDescent="0.3">
      <c r="A211" s="103"/>
      <c r="B211" s="464" t="s">
        <v>349</v>
      </c>
      <c r="C211" s="485" t="s">
        <v>350</v>
      </c>
      <c r="D211" s="383" t="s">
        <v>351</v>
      </c>
      <c r="E211" s="384"/>
      <c r="F211" s="385">
        <f>6*0.92</f>
        <v>5.5200000000000005</v>
      </c>
      <c r="G211" s="508">
        <f>5.52+6.36</f>
        <v>11.879999999999999</v>
      </c>
      <c r="H211" s="553">
        <v>11.88</v>
      </c>
      <c r="I211" s="555" t="s">
        <v>73</v>
      </c>
      <c r="J211" s="572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s="305" customFormat="1" thickBot="1" x14ac:dyDescent="0.35">
      <c r="A212" s="103"/>
      <c r="B212" s="484"/>
      <c r="C212" s="486"/>
      <c r="D212" s="386" t="s">
        <v>352</v>
      </c>
      <c r="E212" s="349"/>
      <c r="F212" s="387">
        <f>4*0.92+1.63+1.05</f>
        <v>6.36</v>
      </c>
      <c r="G212" s="509"/>
      <c r="H212" s="554"/>
      <c r="I212" s="552"/>
      <c r="J212" s="572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s="305" customFormat="1" ht="27" customHeight="1" thickTop="1" x14ac:dyDescent="0.3">
      <c r="A213" s="103"/>
      <c r="B213" s="487" t="s">
        <v>465</v>
      </c>
      <c r="C213" s="488" t="s">
        <v>466</v>
      </c>
      <c r="D213" s="388" t="s">
        <v>351</v>
      </c>
      <c r="E213" s="352"/>
      <c r="F213" s="389">
        <f>5*0.92</f>
        <v>4.6000000000000005</v>
      </c>
      <c r="G213" s="510">
        <f>SUM(F213:F221)</f>
        <v>84.08</v>
      </c>
      <c r="H213" s="553">
        <f>G213</f>
        <v>84.08</v>
      </c>
      <c r="I213" s="555" t="s">
        <v>73</v>
      </c>
      <c r="J213" s="572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s="305" customFormat="1" ht="14.4" x14ac:dyDescent="0.3">
      <c r="A214" s="103"/>
      <c r="B214" s="465"/>
      <c r="C214" s="489"/>
      <c r="D214" s="365" t="s">
        <v>352</v>
      </c>
      <c r="E214" s="330"/>
      <c r="F214" s="390">
        <f>0.92+1.05+1+0.85+2.1</f>
        <v>5.92</v>
      </c>
      <c r="G214" s="511"/>
      <c r="H214" s="473"/>
      <c r="I214" s="459"/>
      <c r="J214" s="572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</row>
    <row r="215" spans="1:26" s="305" customFormat="1" ht="14.4" x14ac:dyDescent="0.3">
      <c r="A215" s="103"/>
      <c r="B215" s="465"/>
      <c r="C215" s="489"/>
      <c r="D215" s="365" t="s">
        <v>353</v>
      </c>
      <c r="E215" s="330"/>
      <c r="F215" s="390">
        <f>7*0.92</f>
        <v>6.44</v>
      </c>
      <c r="G215" s="511"/>
      <c r="H215" s="473"/>
      <c r="I215" s="459"/>
      <c r="J215" s="572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</row>
    <row r="216" spans="1:26" s="305" customFormat="1" ht="14.4" x14ac:dyDescent="0.3">
      <c r="A216" s="103"/>
      <c r="B216" s="465"/>
      <c r="C216" s="489"/>
      <c r="D216" s="365" t="s">
        <v>354</v>
      </c>
      <c r="E216" s="330"/>
      <c r="F216" s="390">
        <v>4.2</v>
      </c>
      <c r="G216" s="511"/>
      <c r="H216" s="473"/>
      <c r="I216" s="459"/>
      <c r="J216" s="572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</row>
    <row r="217" spans="1:26" s="305" customFormat="1" ht="14.4" x14ac:dyDescent="0.3">
      <c r="A217" s="103"/>
      <c r="B217" s="465"/>
      <c r="C217" s="489"/>
      <c r="D217" s="365" t="s">
        <v>355</v>
      </c>
      <c r="E217" s="330"/>
      <c r="F217" s="390">
        <f>4*1.7+3*4.2+2.1</f>
        <v>21.500000000000004</v>
      </c>
      <c r="G217" s="511"/>
      <c r="H217" s="473"/>
      <c r="I217" s="459"/>
      <c r="J217" s="572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</row>
    <row r="218" spans="1:26" s="251" customFormat="1" ht="14.4" x14ac:dyDescent="0.3">
      <c r="A218" s="103"/>
      <c r="B218" s="465"/>
      <c r="C218" s="489"/>
      <c r="D218" s="365" t="s">
        <v>356</v>
      </c>
      <c r="E218" s="330"/>
      <c r="F218" s="390">
        <f>2*0.92+2*1.7</f>
        <v>5.24</v>
      </c>
      <c r="G218" s="511"/>
      <c r="H218" s="473"/>
      <c r="I218" s="459"/>
      <c r="J218" s="248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</row>
    <row r="219" spans="1:26" s="251" customFormat="1" ht="14.4" x14ac:dyDescent="0.3">
      <c r="A219" s="103"/>
      <c r="B219" s="465"/>
      <c r="C219" s="489"/>
      <c r="D219" s="365" t="s">
        <v>357</v>
      </c>
      <c r="E219" s="330"/>
      <c r="F219" s="390">
        <f>7*0.92+3*1.7</f>
        <v>11.54</v>
      </c>
      <c r="G219" s="511"/>
      <c r="H219" s="473"/>
      <c r="I219" s="459"/>
      <c r="J219" s="286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</row>
    <row r="220" spans="1:26" s="251" customFormat="1" ht="14.4" x14ac:dyDescent="0.3">
      <c r="A220" s="103"/>
      <c r="B220" s="465"/>
      <c r="C220" s="489"/>
      <c r="D220" s="365" t="s">
        <v>358</v>
      </c>
      <c r="E220" s="330"/>
      <c r="F220" s="390">
        <f>4*0.92+4*1.7</f>
        <v>10.48</v>
      </c>
      <c r="G220" s="511"/>
      <c r="H220" s="473"/>
      <c r="I220" s="459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</row>
    <row r="221" spans="1:26" s="259" customFormat="1" ht="15" customHeight="1" thickBot="1" x14ac:dyDescent="0.35">
      <c r="A221" s="103"/>
      <c r="B221" s="484"/>
      <c r="C221" s="490"/>
      <c r="D221" s="391" t="s">
        <v>359</v>
      </c>
      <c r="E221" s="377"/>
      <c r="F221" s="392">
        <f>8*0.92+4*1.7</f>
        <v>14.16</v>
      </c>
      <c r="G221" s="511"/>
      <c r="H221" s="554"/>
      <c r="I221" s="552"/>
      <c r="J221" s="248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</row>
    <row r="222" spans="1:26" s="425" customFormat="1" ht="40.5" customHeight="1" thickTop="1" thickBot="1" x14ac:dyDescent="0.35">
      <c r="A222" s="103"/>
      <c r="B222" s="431">
        <v>97083</v>
      </c>
      <c r="C222" s="432" t="s">
        <v>513</v>
      </c>
      <c r="D222" s="408" t="s">
        <v>514</v>
      </c>
      <c r="E222" s="411" t="s">
        <v>530</v>
      </c>
      <c r="F222" s="412">
        <f>44*24</f>
        <v>1056</v>
      </c>
      <c r="G222" s="409">
        <f t="shared" ref="G222:G231" si="0">F222</f>
        <v>1056</v>
      </c>
      <c r="H222" s="418">
        <f t="shared" ref="H222:H231" si="1">SUM(G222)</f>
        <v>1056</v>
      </c>
      <c r="I222" s="407" t="s">
        <v>111</v>
      </c>
      <c r="J222" s="285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</row>
    <row r="223" spans="1:26" s="425" customFormat="1" ht="40.5" customHeight="1" thickTop="1" thickBot="1" x14ac:dyDescent="0.35">
      <c r="A223" s="103"/>
      <c r="B223" s="431">
        <v>95241</v>
      </c>
      <c r="C223" s="432" t="s">
        <v>515</v>
      </c>
      <c r="D223" s="408" t="s">
        <v>514</v>
      </c>
      <c r="E223" s="411" t="s">
        <v>530</v>
      </c>
      <c r="F223" s="412">
        <f>F222</f>
        <v>1056</v>
      </c>
      <c r="G223" s="409">
        <f t="shared" si="0"/>
        <v>1056</v>
      </c>
      <c r="H223" s="418">
        <f t="shared" si="1"/>
        <v>1056</v>
      </c>
      <c r="I223" s="407" t="s">
        <v>111</v>
      </c>
      <c r="J223" s="285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</row>
    <row r="224" spans="1:26" s="425" customFormat="1" ht="40.5" customHeight="1" thickTop="1" thickBot="1" x14ac:dyDescent="0.35">
      <c r="A224" s="103"/>
      <c r="B224" s="431">
        <v>97087</v>
      </c>
      <c r="C224" s="432" t="s">
        <v>516</v>
      </c>
      <c r="D224" s="408" t="s">
        <v>514</v>
      </c>
      <c r="E224" s="411" t="s">
        <v>530</v>
      </c>
      <c r="F224" s="412">
        <f>F223</f>
        <v>1056</v>
      </c>
      <c r="G224" s="409">
        <f t="shared" si="0"/>
        <v>1056</v>
      </c>
      <c r="H224" s="418">
        <f t="shared" si="1"/>
        <v>1056</v>
      </c>
      <c r="I224" s="407" t="s">
        <v>111</v>
      </c>
      <c r="J224" s="285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</row>
    <row r="225" spans="1:26" s="425" customFormat="1" ht="58.2" customHeight="1" thickTop="1" thickBot="1" x14ac:dyDescent="0.35">
      <c r="A225" s="103"/>
      <c r="B225" s="431">
        <v>97086</v>
      </c>
      <c r="C225" s="432" t="s">
        <v>517</v>
      </c>
      <c r="D225" s="408" t="s">
        <v>514</v>
      </c>
      <c r="E225" s="411" t="s">
        <v>532</v>
      </c>
      <c r="F225" s="412">
        <f>(24*3+(44+24+24+44))*0.1</f>
        <v>20.8</v>
      </c>
      <c r="G225" s="409">
        <f t="shared" si="0"/>
        <v>20.8</v>
      </c>
      <c r="H225" s="418">
        <f t="shared" si="1"/>
        <v>20.8</v>
      </c>
      <c r="I225" s="407" t="s">
        <v>111</v>
      </c>
      <c r="J225" s="285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</row>
    <row r="226" spans="1:26" s="425" customFormat="1" ht="40.5" customHeight="1" thickTop="1" thickBot="1" x14ac:dyDescent="0.35">
      <c r="A226" s="103"/>
      <c r="B226" s="431">
        <v>97088</v>
      </c>
      <c r="C226" s="432" t="s">
        <v>379</v>
      </c>
      <c r="D226" s="408" t="s">
        <v>514</v>
      </c>
      <c r="E226" s="411" t="s">
        <v>518</v>
      </c>
      <c r="F226" s="412">
        <f>1.48*F223</f>
        <v>1562.8799999999999</v>
      </c>
      <c r="G226" s="409">
        <f t="shared" si="0"/>
        <v>1562.8799999999999</v>
      </c>
      <c r="H226" s="418">
        <f t="shared" si="1"/>
        <v>1562.8799999999999</v>
      </c>
      <c r="I226" s="407" t="s">
        <v>114</v>
      </c>
      <c r="J226" s="285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</row>
    <row r="227" spans="1:26" s="425" customFormat="1" ht="40.5" customHeight="1" thickTop="1" thickBot="1" x14ac:dyDescent="0.35">
      <c r="A227" s="103"/>
      <c r="B227" s="431">
        <v>97116</v>
      </c>
      <c r="C227" s="432" t="s">
        <v>525</v>
      </c>
      <c r="D227" s="408" t="s">
        <v>514</v>
      </c>
      <c r="E227" s="411" t="s">
        <v>527</v>
      </c>
      <c r="F227" s="412">
        <f>(((44*3)/0.3)*0.35+((24*3)/0.3)*0.35)*1.578</f>
        <v>375.56400000000002</v>
      </c>
      <c r="G227" s="409">
        <f t="shared" si="0"/>
        <v>375.56400000000002</v>
      </c>
      <c r="H227" s="418">
        <f t="shared" si="1"/>
        <v>375.56400000000002</v>
      </c>
      <c r="I227" s="407" t="s">
        <v>114</v>
      </c>
      <c r="J227" s="285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</row>
    <row r="228" spans="1:26" s="425" customFormat="1" ht="94.2" customHeight="1" thickTop="1" thickBot="1" x14ac:dyDescent="0.35">
      <c r="A228" s="103"/>
      <c r="B228" s="431">
        <v>97115</v>
      </c>
      <c r="C228" s="432" t="s">
        <v>526</v>
      </c>
      <c r="D228" s="408" t="s">
        <v>514</v>
      </c>
      <c r="E228" s="411" t="s">
        <v>524</v>
      </c>
      <c r="F228" s="412">
        <f>F227*0.0444</f>
        <v>16.6750416</v>
      </c>
      <c r="G228" s="409">
        <f t="shared" si="0"/>
        <v>16.6750416</v>
      </c>
      <c r="H228" s="418">
        <f t="shared" si="1"/>
        <v>16.6750416</v>
      </c>
      <c r="I228" s="407" t="s">
        <v>114</v>
      </c>
      <c r="J228" s="285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</row>
    <row r="229" spans="1:26" s="425" customFormat="1" ht="40.5" customHeight="1" thickTop="1" thickBot="1" x14ac:dyDescent="0.35">
      <c r="A229" s="103"/>
      <c r="B229" s="431" t="s">
        <v>519</v>
      </c>
      <c r="C229" s="432" t="s">
        <v>520</v>
      </c>
      <c r="D229" s="408" t="s">
        <v>514</v>
      </c>
      <c r="E229" s="411" t="s">
        <v>521</v>
      </c>
      <c r="F229" s="412">
        <f>F223*0.1</f>
        <v>105.60000000000001</v>
      </c>
      <c r="G229" s="409">
        <f t="shared" si="0"/>
        <v>105.60000000000001</v>
      </c>
      <c r="H229" s="418">
        <f t="shared" si="1"/>
        <v>105.60000000000001</v>
      </c>
      <c r="I229" s="407" t="s">
        <v>121</v>
      </c>
      <c r="J229" s="285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</row>
    <row r="230" spans="1:26" s="425" customFormat="1" ht="40.5" customHeight="1" thickTop="1" thickBot="1" x14ac:dyDescent="0.35">
      <c r="A230" s="103"/>
      <c r="B230" s="431">
        <v>97097</v>
      </c>
      <c r="C230" s="432" t="s">
        <v>522</v>
      </c>
      <c r="D230" s="408" t="s">
        <v>514</v>
      </c>
      <c r="E230" s="411" t="s">
        <v>523</v>
      </c>
      <c r="F230" s="412">
        <f>F224</f>
        <v>1056</v>
      </c>
      <c r="G230" s="409">
        <f t="shared" si="0"/>
        <v>1056</v>
      </c>
      <c r="H230" s="418">
        <f t="shared" si="1"/>
        <v>1056</v>
      </c>
      <c r="I230" s="407" t="s">
        <v>111</v>
      </c>
      <c r="J230" s="285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</row>
    <row r="231" spans="1:26" s="425" customFormat="1" ht="40.5" customHeight="1" thickTop="1" thickBot="1" x14ac:dyDescent="0.35">
      <c r="A231" s="103"/>
      <c r="B231" s="431">
        <v>98575</v>
      </c>
      <c r="C231" s="432" t="s">
        <v>528</v>
      </c>
      <c r="D231" s="408" t="s">
        <v>529</v>
      </c>
      <c r="E231" s="411" t="s">
        <v>531</v>
      </c>
      <c r="F231" s="412">
        <f>44*5+24*5</f>
        <v>340</v>
      </c>
      <c r="G231" s="409">
        <f t="shared" si="0"/>
        <v>340</v>
      </c>
      <c r="H231" s="418">
        <f t="shared" si="1"/>
        <v>340</v>
      </c>
      <c r="I231" s="407" t="s">
        <v>73</v>
      </c>
      <c r="J231" s="285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</row>
    <row r="232" spans="1:26" s="259" customFormat="1" ht="15" customHeight="1" thickTop="1" thickBot="1" x14ac:dyDescent="0.35">
      <c r="A232" s="103"/>
      <c r="B232" s="287" t="s">
        <v>362</v>
      </c>
      <c r="C232" s="429" t="s">
        <v>363</v>
      </c>
      <c r="D232" s="430"/>
      <c r="E232" s="430"/>
      <c r="F232" s="430"/>
      <c r="G232" s="430"/>
      <c r="H232" s="430"/>
      <c r="I232" s="317"/>
      <c r="J232" s="248"/>
      <c r="K232" s="103" t="s">
        <v>482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</row>
    <row r="233" spans="1:26" s="259" customFormat="1" ht="33" customHeight="1" thickTop="1" x14ac:dyDescent="0.3">
      <c r="A233" s="103"/>
      <c r="B233" s="492">
        <v>94990</v>
      </c>
      <c r="C233" s="491" t="s">
        <v>474</v>
      </c>
      <c r="D233" s="365" t="s">
        <v>483</v>
      </c>
      <c r="E233" s="494">
        <f>(169.67)*1.85</f>
        <v>313.8895</v>
      </c>
      <c r="F233" s="495"/>
      <c r="G233" s="493">
        <f>SUM(E233:F236)*0.1</f>
        <v>41.982110000000006</v>
      </c>
      <c r="H233" s="553">
        <f>G233</f>
        <v>41.982110000000006</v>
      </c>
      <c r="I233" s="555" t="s">
        <v>121</v>
      </c>
      <c r="J233" s="248"/>
      <c r="K233" s="103" t="s">
        <v>481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</row>
    <row r="234" spans="1:26" s="361" customFormat="1" ht="14.4" x14ac:dyDescent="0.3">
      <c r="A234" s="103"/>
      <c r="B234" s="453"/>
      <c r="C234" s="462"/>
      <c r="D234" s="365" t="s">
        <v>484</v>
      </c>
      <c r="E234" s="496">
        <f>(4.72*2.93)+(16.18*1.4)</f>
        <v>36.4816</v>
      </c>
      <c r="F234" s="497"/>
      <c r="G234" s="479"/>
      <c r="H234" s="473"/>
      <c r="I234" s="459"/>
      <c r="J234" s="248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</row>
    <row r="235" spans="1:26" s="361" customFormat="1" ht="39.6" x14ac:dyDescent="0.3">
      <c r="A235" s="103"/>
      <c r="B235" s="453"/>
      <c r="C235" s="462"/>
      <c r="D235" s="365" t="s">
        <v>485</v>
      </c>
      <c r="E235" s="496">
        <f>27.4*2</f>
        <v>54.8</v>
      </c>
      <c r="F235" s="497"/>
      <c r="G235" s="479"/>
      <c r="H235" s="473"/>
      <c r="I235" s="459"/>
      <c r="J235" s="248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</row>
    <row r="236" spans="1:26" s="361" customFormat="1" ht="40.200000000000003" thickBot="1" x14ac:dyDescent="0.35">
      <c r="A236" s="103"/>
      <c r="B236" s="453"/>
      <c r="C236" s="462"/>
      <c r="D236" s="365" t="s">
        <v>486</v>
      </c>
      <c r="E236" s="498">
        <v>14.65</v>
      </c>
      <c r="F236" s="499"/>
      <c r="G236" s="479"/>
      <c r="H236" s="474"/>
      <c r="I236" s="460"/>
      <c r="J236" s="286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</row>
    <row r="237" spans="1:26" s="251" customFormat="1" ht="37.200000000000003" customHeight="1" thickTop="1" thickBot="1" x14ac:dyDescent="0.35">
      <c r="A237" s="103"/>
      <c r="B237" s="393" t="s">
        <v>364</v>
      </c>
      <c r="C237" s="394" t="s">
        <v>368</v>
      </c>
      <c r="D237" s="362" t="s">
        <v>195</v>
      </c>
      <c r="E237" s="482" t="s">
        <v>371</v>
      </c>
      <c r="F237" s="482"/>
      <c r="G237" s="363">
        <v>33.68</v>
      </c>
      <c r="H237" s="419">
        <f>SUM(G237:G237)</f>
        <v>33.68</v>
      </c>
      <c r="I237" s="364" t="s">
        <v>111</v>
      </c>
      <c r="J237" s="286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</row>
    <row r="238" spans="1:26" s="361" customFormat="1" ht="15.75" customHeight="1" thickTop="1" x14ac:dyDescent="0.3">
      <c r="A238" s="103"/>
      <c r="B238" s="475">
        <v>92398</v>
      </c>
      <c r="C238" s="478" t="s">
        <v>487</v>
      </c>
      <c r="D238" s="395" t="s">
        <v>372</v>
      </c>
      <c r="E238" s="481" t="s">
        <v>371</v>
      </c>
      <c r="F238" s="481"/>
      <c r="G238" s="396">
        <v>75.569999999999993</v>
      </c>
      <c r="H238" s="472">
        <f>SUM(G238:G240)</f>
        <v>4424.1899999999996</v>
      </c>
      <c r="I238" s="458" t="s">
        <v>111</v>
      </c>
      <c r="J238" s="286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</row>
    <row r="239" spans="1:26" s="361" customFormat="1" ht="26.25" customHeight="1" x14ac:dyDescent="0.3">
      <c r="A239" s="103"/>
      <c r="B239" s="476"/>
      <c r="C239" s="479"/>
      <c r="D239" s="362" t="s">
        <v>373</v>
      </c>
      <c r="E239" s="482" t="s">
        <v>371</v>
      </c>
      <c r="F239" s="482"/>
      <c r="G239" s="396">
        <v>1693.48</v>
      </c>
      <c r="H239" s="473"/>
      <c r="I239" s="459"/>
      <c r="J239" s="286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</row>
    <row r="240" spans="1:26" s="361" customFormat="1" ht="27" customHeight="1" thickBot="1" x14ac:dyDescent="0.35">
      <c r="A240" s="103"/>
      <c r="B240" s="477"/>
      <c r="C240" s="480"/>
      <c r="D240" s="370" t="s">
        <v>374</v>
      </c>
      <c r="E240" s="483" t="s">
        <v>371</v>
      </c>
      <c r="F240" s="483"/>
      <c r="G240" s="347">
        <v>2655.14</v>
      </c>
      <c r="H240" s="474"/>
      <c r="I240" s="460"/>
      <c r="J240" s="286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</row>
    <row r="241" spans="1:26" s="251" customFormat="1" ht="27" customHeight="1" thickTop="1" x14ac:dyDescent="0.3">
      <c r="A241" s="103"/>
      <c r="B241" s="452" t="s">
        <v>365</v>
      </c>
      <c r="C241" s="461" t="s">
        <v>369</v>
      </c>
      <c r="D241" s="362" t="s">
        <v>394</v>
      </c>
      <c r="E241" s="513" t="s">
        <v>371</v>
      </c>
      <c r="F241" s="481"/>
      <c r="G241" s="420">
        <v>55.32</v>
      </c>
      <c r="H241" s="472">
        <f>SUM(G241:G242)</f>
        <v>150.79</v>
      </c>
      <c r="I241" s="458" t="s">
        <v>111</v>
      </c>
      <c r="J241" s="286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</row>
    <row r="242" spans="1:26" s="251" customFormat="1" thickBot="1" x14ac:dyDescent="0.35">
      <c r="A242" s="103"/>
      <c r="B242" s="454"/>
      <c r="C242" s="463"/>
      <c r="D242" s="362" t="s">
        <v>395</v>
      </c>
      <c r="E242" s="514" t="s">
        <v>371</v>
      </c>
      <c r="F242" s="515"/>
      <c r="G242" s="421">
        <v>95.47</v>
      </c>
      <c r="H242" s="474"/>
      <c r="I242" s="460"/>
      <c r="J242" s="286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</row>
    <row r="243" spans="1:26" s="257" customFormat="1" ht="30.6" customHeight="1" thickTop="1" thickBot="1" x14ac:dyDescent="0.35">
      <c r="A243" s="103"/>
      <c r="B243" s="398">
        <v>94342</v>
      </c>
      <c r="C243" s="399" t="s">
        <v>467</v>
      </c>
      <c r="D243" s="400" t="s">
        <v>488</v>
      </c>
      <c r="E243" s="583" t="s">
        <v>489</v>
      </c>
      <c r="F243" s="584"/>
      <c r="G243" s="397">
        <f>308*0.3</f>
        <v>92.399999999999991</v>
      </c>
      <c r="H243" s="419">
        <f>G243</f>
        <v>92.399999999999991</v>
      </c>
      <c r="I243" s="316" t="s">
        <v>121</v>
      </c>
      <c r="J243" s="286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</row>
    <row r="244" spans="1:26" s="425" customFormat="1" ht="48.6" customHeight="1" thickTop="1" thickBot="1" x14ac:dyDescent="0.35">
      <c r="A244" s="103"/>
      <c r="B244" s="422">
        <v>100324</v>
      </c>
      <c r="C244" s="399" t="s">
        <v>511</v>
      </c>
      <c r="D244" s="400" t="s">
        <v>488</v>
      </c>
      <c r="E244" s="583" t="s">
        <v>512</v>
      </c>
      <c r="F244" s="584"/>
      <c r="G244" s="397">
        <f>308*0.1</f>
        <v>30.8</v>
      </c>
      <c r="H244" s="423">
        <f>G244</f>
        <v>30.8</v>
      </c>
      <c r="I244" s="424" t="s">
        <v>121</v>
      </c>
      <c r="J244" s="286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</row>
    <row r="245" spans="1:26" s="272" customFormat="1" ht="34.200000000000003" customHeight="1" thickTop="1" x14ac:dyDescent="0.3">
      <c r="A245" s="103"/>
      <c r="B245" s="452" t="s">
        <v>366</v>
      </c>
      <c r="C245" s="461" t="s">
        <v>190</v>
      </c>
      <c r="D245" s="365" t="s">
        <v>490</v>
      </c>
      <c r="E245" s="330" t="s">
        <v>491</v>
      </c>
      <c r="F245" s="390">
        <f>197.79+54.25</f>
        <v>252.04</v>
      </c>
      <c r="G245" s="469">
        <f>SUM(F245:F253)</f>
        <v>1300.17</v>
      </c>
      <c r="H245" s="472">
        <f>G245</f>
        <v>1300.17</v>
      </c>
      <c r="I245" s="458" t="s">
        <v>111</v>
      </c>
      <c r="J245" s="286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</row>
    <row r="246" spans="1:26" s="361" customFormat="1" ht="14.4" x14ac:dyDescent="0.3">
      <c r="A246" s="103"/>
      <c r="B246" s="453"/>
      <c r="C246" s="462"/>
      <c r="D246" s="365" t="s">
        <v>372</v>
      </c>
      <c r="E246" s="330" t="s">
        <v>491</v>
      </c>
      <c r="F246" s="390">
        <f>14.16+8.5</f>
        <v>22.66</v>
      </c>
      <c r="G246" s="470"/>
      <c r="H246" s="473"/>
      <c r="I246" s="459"/>
      <c r="J246" s="248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</row>
    <row r="247" spans="1:26" s="361" customFormat="1" ht="14.4" x14ac:dyDescent="0.3">
      <c r="A247" s="103"/>
      <c r="B247" s="453"/>
      <c r="C247" s="462"/>
      <c r="D247" s="365" t="s">
        <v>492</v>
      </c>
      <c r="E247" s="330" t="s">
        <v>491</v>
      </c>
      <c r="F247" s="390">
        <v>43.02</v>
      </c>
      <c r="G247" s="470"/>
      <c r="H247" s="473"/>
      <c r="I247" s="459"/>
      <c r="J247" s="286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</row>
    <row r="248" spans="1:26" s="361" customFormat="1" ht="26.4" x14ac:dyDescent="0.3">
      <c r="A248" s="103"/>
      <c r="B248" s="453"/>
      <c r="C248" s="462"/>
      <c r="D248" s="365" t="s">
        <v>494</v>
      </c>
      <c r="E248" s="330" t="s">
        <v>491</v>
      </c>
      <c r="F248" s="390">
        <v>127.09</v>
      </c>
      <c r="G248" s="470"/>
      <c r="H248" s="473"/>
      <c r="I248" s="459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</row>
    <row r="249" spans="1:26" s="361" customFormat="1" ht="26.4" x14ac:dyDescent="0.3">
      <c r="A249" s="103"/>
      <c r="B249" s="453"/>
      <c r="C249" s="462"/>
      <c r="D249" s="365" t="s">
        <v>493</v>
      </c>
      <c r="E249" s="330" t="s">
        <v>491</v>
      </c>
      <c r="F249" s="390">
        <v>133.74</v>
      </c>
      <c r="G249" s="470"/>
      <c r="H249" s="473"/>
      <c r="I249" s="459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</row>
    <row r="250" spans="1:26" s="361" customFormat="1" ht="26.4" x14ac:dyDescent="0.3">
      <c r="A250" s="103"/>
      <c r="B250" s="453"/>
      <c r="C250" s="462"/>
      <c r="D250" s="401" t="s">
        <v>495</v>
      </c>
      <c r="E250" s="330" t="s">
        <v>491</v>
      </c>
      <c r="F250" s="402">
        <f>30.4+26.23</f>
        <v>56.629999999999995</v>
      </c>
      <c r="G250" s="470"/>
      <c r="H250" s="473"/>
      <c r="I250" s="459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</row>
    <row r="251" spans="1:26" s="361" customFormat="1" ht="14.4" x14ac:dyDescent="0.3">
      <c r="A251" s="103"/>
      <c r="B251" s="453"/>
      <c r="C251" s="462"/>
      <c r="D251" s="401" t="s">
        <v>357</v>
      </c>
      <c r="E251" s="330" t="s">
        <v>491</v>
      </c>
      <c r="F251" s="402">
        <v>177.7</v>
      </c>
      <c r="G251" s="470"/>
      <c r="H251" s="473"/>
      <c r="I251" s="459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</row>
    <row r="252" spans="1:26" s="361" customFormat="1" ht="14.4" x14ac:dyDescent="0.3">
      <c r="A252" s="103"/>
      <c r="B252" s="453"/>
      <c r="C252" s="462"/>
      <c r="D252" s="401" t="s">
        <v>359</v>
      </c>
      <c r="E252" s="330" t="s">
        <v>491</v>
      </c>
      <c r="F252" s="402">
        <v>237.37</v>
      </c>
      <c r="G252" s="470"/>
      <c r="H252" s="473"/>
      <c r="I252" s="459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</row>
    <row r="253" spans="1:26" s="361" customFormat="1" ht="15" customHeight="1" thickBot="1" x14ac:dyDescent="0.35">
      <c r="A253" s="103"/>
      <c r="B253" s="454"/>
      <c r="C253" s="463"/>
      <c r="D253" s="401" t="s">
        <v>496</v>
      </c>
      <c r="E253" s="330" t="s">
        <v>491</v>
      </c>
      <c r="F253" s="392">
        <v>249.92</v>
      </c>
      <c r="G253" s="471"/>
      <c r="H253" s="474"/>
      <c r="I253" s="460"/>
      <c r="J253" s="248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</row>
    <row r="254" spans="1:26" s="272" customFormat="1" ht="42" customHeight="1" thickTop="1" x14ac:dyDescent="0.3">
      <c r="A254" s="103"/>
      <c r="B254" s="452" t="s">
        <v>367</v>
      </c>
      <c r="C254" s="461" t="s">
        <v>499</v>
      </c>
      <c r="D254" s="369" t="s">
        <v>483</v>
      </c>
      <c r="E254" s="494">
        <f>169+175.83</f>
        <v>344.83000000000004</v>
      </c>
      <c r="F254" s="587"/>
      <c r="G254" s="493">
        <f>SUM(E254:F257)</f>
        <v>566.94159999999999</v>
      </c>
      <c r="H254" s="577">
        <f>G254</f>
        <v>566.94159999999999</v>
      </c>
      <c r="I254" s="580" t="s">
        <v>73</v>
      </c>
      <c r="J254" s="286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</row>
    <row r="255" spans="1:26" s="371" customFormat="1" ht="26.4" x14ac:dyDescent="0.3">
      <c r="A255" s="103"/>
      <c r="B255" s="453"/>
      <c r="C255" s="462"/>
      <c r="D255" s="369" t="s">
        <v>497</v>
      </c>
      <c r="E255" s="496">
        <f>(4.72*2.93)+(16.18*1.4)</f>
        <v>36.4816</v>
      </c>
      <c r="F255" s="574"/>
      <c r="G255" s="479"/>
      <c r="H255" s="578"/>
      <c r="I255" s="581"/>
      <c r="J255" s="248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</row>
    <row r="256" spans="1:26" s="371" customFormat="1" ht="39.6" x14ac:dyDescent="0.3">
      <c r="A256" s="103"/>
      <c r="B256" s="453"/>
      <c r="C256" s="462"/>
      <c r="D256" s="369" t="s">
        <v>485</v>
      </c>
      <c r="E256" s="496">
        <f>47.55*2</f>
        <v>95.1</v>
      </c>
      <c r="F256" s="574"/>
      <c r="G256" s="479"/>
      <c r="H256" s="578"/>
      <c r="I256" s="581"/>
      <c r="J256" s="248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</row>
    <row r="257" spans="1:26" s="371" customFormat="1" ht="40.200000000000003" thickBot="1" x14ac:dyDescent="0.35">
      <c r="A257" s="103"/>
      <c r="B257" s="454"/>
      <c r="C257" s="463"/>
      <c r="D257" s="369" t="s">
        <v>498</v>
      </c>
      <c r="E257" s="575">
        <f>83.03+7.5</f>
        <v>90.53</v>
      </c>
      <c r="F257" s="576"/>
      <c r="G257" s="479"/>
      <c r="H257" s="579"/>
      <c r="I257" s="582"/>
      <c r="J257" s="286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</row>
    <row r="258" spans="1:26" s="371" customFormat="1" ht="42" customHeight="1" thickTop="1" x14ac:dyDescent="0.3">
      <c r="A258" s="103"/>
      <c r="B258" s="452">
        <v>94281</v>
      </c>
      <c r="C258" s="461" t="s">
        <v>506</v>
      </c>
      <c r="D258" s="369" t="s">
        <v>507</v>
      </c>
      <c r="E258" s="494">
        <f>133.44*2-14*1*2</f>
        <v>238.88</v>
      </c>
      <c r="F258" s="587"/>
      <c r="G258" s="493">
        <f>SUM(E258:F261)</f>
        <v>471.73999999999995</v>
      </c>
      <c r="H258" s="577">
        <f>G258</f>
        <v>471.73999999999995</v>
      </c>
      <c r="I258" s="580" t="s">
        <v>73</v>
      </c>
      <c r="J258" s="286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</row>
    <row r="259" spans="1:26" s="371" customFormat="1" ht="39.6" x14ac:dyDescent="0.3">
      <c r="A259" s="103"/>
      <c r="B259" s="453"/>
      <c r="C259" s="462"/>
      <c r="D259" s="369" t="s">
        <v>508</v>
      </c>
      <c r="E259" s="496">
        <f>143.31-1*15</f>
        <v>128.31</v>
      </c>
      <c r="F259" s="574"/>
      <c r="G259" s="479"/>
      <c r="H259" s="578"/>
      <c r="I259" s="581"/>
      <c r="J259" s="248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</row>
    <row r="260" spans="1:26" s="371" customFormat="1" ht="39.6" x14ac:dyDescent="0.3">
      <c r="A260" s="103"/>
      <c r="B260" s="453"/>
      <c r="C260" s="462"/>
      <c r="D260" s="369" t="s">
        <v>509</v>
      </c>
      <c r="E260" s="496">
        <f>57.9-7*1</f>
        <v>50.9</v>
      </c>
      <c r="F260" s="574"/>
      <c r="G260" s="479"/>
      <c r="H260" s="578"/>
      <c r="I260" s="581"/>
      <c r="J260" s="248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</row>
    <row r="261" spans="1:26" s="371" customFormat="1" ht="40.200000000000003" thickBot="1" x14ac:dyDescent="0.35">
      <c r="A261" s="103"/>
      <c r="B261" s="454"/>
      <c r="C261" s="463"/>
      <c r="D261" s="369" t="s">
        <v>510</v>
      </c>
      <c r="E261" s="575">
        <f>60.65-7*1</f>
        <v>53.65</v>
      </c>
      <c r="F261" s="576"/>
      <c r="G261" s="479"/>
      <c r="H261" s="579"/>
      <c r="I261" s="582"/>
      <c r="J261" s="286"/>
      <c r="K261" s="103"/>
      <c r="L261" s="103">
        <v>492.3</v>
      </c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</row>
    <row r="262" spans="1:26" s="272" customFormat="1" ht="12.6" customHeight="1" thickTop="1" thickBot="1" x14ac:dyDescent="0.35">
      <c r="A262" s="103"/>
      <c r="B262" s="105" t="s">
        <v>388</v>
      </c>
      <c r="C262" s="310" t="s">
        <v>389</v>
      </c>
      <c r="D262" s="311"/>
      <c r="E262" s="311"/>
      <c r="F262" s="311"/>
      <c r="G262" s="311"/>
      <c r="H262" s="311"/>
      <c r="I262" s="312"/>
      <c r="J262" s="308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</row>
    <row r="263" spans="1:26" s="272" customFormat="1" ht="12.6" customHeight="1" thickTop="1" thickBot="1" x14ac:dyDescent="0.35">
      <c r="A263" s="103"/>
      <c r="B263" s="263" t="s">
        <v>390</v>
      </c>
      <c r="C263" s="313" t="s">
        <v>391</v>
      </c>
      <c r="D263" s="314"/>
      <c r="E263" s="314"/>
      <c r="F263" s="314"/>
      <c r="G263" s="314"/>
      <c r="H263" s="314"/>
      <c r="I263" s="315"/>
      <c r="J263" s="572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</row>
    <row r="264" spans="1:26" s="306" customFormat="1" ht="12.6" customHeight="1" thickTop="1" thickBot="1" x14ac:dyDescent="0.35">
      <c r="A264" s="103"/>
      <c r="B264" s="309" t="s">
        <v>392</v>
      </c>
      <c r="C264" s="258" t="s">
        <v>393</v>
      </c>
      <c r="D264" s="249"/>
      <c r="E264" s="256"/>
      <c r="F264" s="254"/>
      <c r="G264" s="255"/>
      <c r="H264" s="319">
        <v>800</v>
      </c>
      <c r="I264" s="316" t="s">
        <v>111</v>
      </c>
      <c r="J264" s="572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</row>
    <row r="265" spans="1:26" s="306" customFormat="1" ht="12.6" customHeight="1" thickTop="1" thickBot="1" x14ac:dyDescent="0.35">
      <c r="A265" s="103"/>
      <c r="B265" s="105">
        <v>9</v>
      </c>
      <c r="C265" s="310" t="s">
        <v>396</v>
      </c>
      <c r="D265" s="311"/>
      <c r="E265" s="311"/>
      <c r="F265" s="311"/>
      <c r="G265" s="311"/>
      <c r="H265" s="311"/>
      <c r="I265" s="312"/>
      <c r="J265" s="572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</row>
    <row r="266" spans="1:26" s="306" customFormat="1" ht="12.6" customHeight="1" thickTop="1" thickBot="1" x14ac:dyDescent="0.35">
      <c r="A266" s="103"/>
      <c r="B266" s="263" t="s">
        <v>398</v>
      </c>
      <c r="C266" s="313" t="s">
        <v>397</v>
      </c>
      <c r="D266" s="314"/>
      <c r="E266" s="314"/>
      <c r="F266" s="314"/>
      <c r="G266" s="314"/>
      <c r="H266" s="314"/>
      <c r="I266" s="315"/>
      <c r="J266" s="572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</row>
    <row r="267" spans="1:26" s="425" customFormat="1" ht="12.6" customHeight="1" thickTop="1" x14ac:dyDescent="0.3">
      <c r="A267" s="103"/>
      <c r="B267" s="452" t="s">
        <v>535</v>
      </c>
      <c r="C267" s="461" t="s">
        <v>534</v>
      </c>
      <c r="D267" s="507" t="s">
        <v>351</v>
      </c>
      <c r="E267" s="426" t="s">
        <v>407</v>
      </c>
      <c r="F267" s="321">
        <v>3.88</v>
      </c>
      <c r="G267" s="593">
        <f>SUM(F267:F273)</f>
        <v>51.47</v>
      </c>
      <c r="H267" s="472">
        <f>SUM(G267:G299)</f>
        <v>369.03</v>
      </c>
      <c r="I267" s="458" t="s">
        <v>111</v>
      </c>
      <c r="J267" s="572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</row>
    <row r="268" spans="1:26" s="425" customFormat="1" ht="12.6" customHeight="1" x14ac:dyDescent="0.3">
      <c r="A268" s="103"/>
      <c r="B268" s="453"/>
      <c r="C268" s="462"/>
      <c r="D268" s="505"/>
      <c r="E268" s="426" t="s">
        <v>405</v>
      </c>
      <c r="F268" s="321">
        <v>2.61</v>
      </c>
      <c r="G268" s="512"/>
      <c r="H268" s="473"/>
      <c r="I268" s="459"/>
      <c r="J268" s="572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</row>
    <row r="269" spans="1:26" s="425" customFormat="1" ht="12.6" customHeight="1" x14ac:dyDescent="0.3">
      <c r="A269" s="103"/>
      <c r="B269" s="453"/>
      <c r="C269" s="462"/>
      <c r="D269" s="505"/>
      <c r="E269" s="426" t="s">
        <v>409</v>
      </c>
      <c r="F269" s="321">
        <v>2.61</v>
      </c>
      <c r="G269" s="512"/>
      <c r="H269" s="473"/>
      <c r="I269" s="459"/>
      <c r="J269" s="572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</row>
    <row r="270" spans="1:26" s="425" customFormat="1" ht="12.6" customHeight="1" x14ac:dyDescent="0.3">
      <c r="A270" s="103"/>
      <c r="B270" s="453"/>
      <c r="C270" s="462"/>
      <c r="D270" s="505"/>
      <c r="E270" s="426" t="s">
        <v>408</v>
      </c>
      <c r="F270" s="321">
        <v>3.87</v>
      </c>
      <c r="G270" s="512"/>
      <c r="H270" s="473"/>
      <c r="I270" s="459"/>
      <c r="J270" s="572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</row>
    <row r="271" spans="1:26" s="425" customFormat="1" ht="12.6" customHeight="1" x14ac:dyDescent="0.3">
      <c r="A271" s="103"/>
      <c r="B271" s="453"/>
      <c r="C271" s="462"/>
      <c r="D271" s="505"/>
      <c r="E271" s="426" t="s">
        <v>195</v>
      </c>
      <c r="F271" s="321">
        <v>13.69</v>
      </c>
      <c r="G271" s="512"/>
      <c r="H271" s="473"/>
      <c r="I271" s="459"/>
      <c r="J271" s="572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</row>
    <row r="272" spans="1:26" s="425" customFormat="1" ht="12.6" customHeight="1" x14ac:dyDescent="0.3">
      <c r="A272" s="103"/>
      <c r="B272" s="453"/>
      <c r="C272" s="462"/>
      <c r="D272" s="505"/>
      <c r="E272" s="426" t="s">
        <v>434</v>
      </c>
      <c r="F272" s="321">
        <v>11.17</v>
      </c>
      <c r="G272" s="512"/>
      <c r="H272" s="473"/>
      <c r="I272" s="459"/>
      <c r="J272" s="572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</row>
    <row r="273" spans="1:26" s="425" customFormat="1" ht="12.6" customHeight="1" x14ac:dyDescent="0.3">
      <c r="A273" s="103"/>
      <c r="B273" s="453"/>
      <c r="C273" s="462"/>
      <c r="D273" s="506"/>
      <c r="E273" s="426" t="s">
        <v>401</v>
      </c>
      <c r="F273" s="321">
        <v>13.64</v>
      </c>
      <c r="G273" s="512"/>
      <c r="H273" s="473"/>
      <c r="I273" s="459"/>
      <c r="J273" s="572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</row>
    <row r="274" spans="1:26" s="425" customFormat="1" ht="12.6" customHeight="1" x14ac:dyDescent="0.3">
      <c r="A274" s="103"/>
      <c r="B274" s="453"/>
      <c r="C274" s="462"/>
      <c r="D274" s="504" t="s">
        <v>352</v>
      </c>
      <c r="E274" s="323" t="s">
        <v>429</v>
      </c>
      <c r="F274" s="325">
        <v>3.13</v>
      </c>
      <c r="G274" s="512">
        <f>SUM(F274:F279)</f>
        <v>56.959999999999994</v>
      </c>
      <c r="H274" s="473"/>
      <c r="I274" s="459"/>
      <c r="J274" s="572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</row>
    <row r="275" spans="1:26" s="425" customFormat="1" ht="12.6" customHeight="1" x14ac:dyDescent="0.3">
      <c r="A275" s="103"/>
      <c r="B275" s="453"/>
      <c r="C275" s="462"/>
      <c r="D275" s="505"/>
      <c r="E275" s="323" t="s">
        <v>430</v>
      </c>
      <c r="F275" s="325">
        <v>3.23</v>
      </c>
      <c r="G275" s="512"/>
      <c r="H275" s="473"/>
      <c r="I275" s="459"/>
      <c r="J275" s="572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</row>
    <row r="276" spans="1:26" s="425" customFormat="1" ht="12.6" customHeight="1" x14ac:dyDescent="0.3">
      <c r="A276" s="103"/>
      <c r="B276" s="453"/>
      <c r="C276" s="462"/>
      <c r="D276" s="505"/>
      <c r="E276" s="323" t="s">
        <v>431</v>
      </c>
      <c r="F276" s="325">
        <v>24.84</v>
      </c>
      <c r="G276" s="512"/>
      <c r="H276" s="473"/>
      <c r="I276" s="459"/>
      <c r="J276" s="572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</row>
    <row r="277" spans="1:26" s="425" customFormat="1" ht="12.6" customHeight="1" x14ac:dyDescent="0.3">
      <c r="A277" s="103"/>
      <c r="B277" s="453"/>
      <c r="C277" s="462"/>
      <c r="D277" s="505"/>
      <c r="E277" s="323" t="s">
        <v>432</v>
      </c>
      <c r="F277" s="325">
        <v>11.67</v>
      </c>
      <c r="G277" s="512"/>
      <c r="H277" s="473"/>
      <c r="I277" s="459"/>
      <c r="J277" s="572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</row>
    <row r="278" spans="1:26" s="425" customFormat="1" ht="12.6" customHeight="1" x14ac:dyDescent="0.3">
      <c r="A278" s="103"/>
      <c r="B278" s="453"/>
      <c r="C278" s="462"/>
      <c r="D278" s="505"/>
      <c r="E278" s="323" t="s">
        <v>433</v>
      </c>
      <c r="F278" s="335">
        <v>3.9</v>
      </c>
      <c r="G278" s="512"/>
      <c r="H278" s="473"/>
      <c r="I278" s="459"/>
      <c r="J278" s="572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</row>
    <row r="279" spans="1:26" s="425" customFormat="1" ht="12.6" customHeight="1" x14ac:dyDescent="0.3">
      <c r="A279" s="103"/>
      <c r="B279" s="453"/>
      <c r="C279" s="462"/>
      <c r="D279" s="506"/>
      <c r="E279" s="323" t="s">
        <v>434</v>
      </c>
      <c r="F279" s="325">
        <v>10.19</v>
      </c>
      <c r="G279" s="512"/>
      <c r="H279" s="473"/>
      <c r="I279" s="459"/>
      <c r="J279" s="572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</row>
    <row r="280" spans="1:26" s="425" customFormat="1" ht="12.6" customHeight="1" x14ac:dyDescent="0.3">
      <c r="A280" s="103"/>
      <c r="B280" s="453"/>
      <c r="C280" s="462"/>
      <c r="D280" s="504" t="s">
        <v>353</v>
      </c>
      <c r="E280" s="323" t="s">
        <v>438</v>
      </c>
      <c r="F280" s="324">
        <v>9.14</v>
      </c>
      <c r="G280" s="512">
        <f>SUM(F280:F286)</f>
        <v>59.650000000000006</v>
      </c>
      <c r="H280" s="473"/>
      <c r="I280" s="459"/>
      <c r="J280" s="572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</row>
    <row r="281" spans="1:26" s="425" customFormat="1" ht="12.6" customHeight="1" x14ac:dyDescent="0.3">
      <c r="A281" s="103"/>
      <c r="B281" s="453"/>
      <c r="C281" s="462"/>
      <c r="D281" s="505"/>
      <c r="E281" s="323" t="s">
        <v>439</v>
      </c>
      <c r="F281" s="336">
        <v>4.1100000000000003</v>
      </c>
      <c r="G281" s="512"/>
      <c r="H281" s="473"/>
      <c r="I281" s="459"/>
      <c r="J281" s="572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</row>
    <row r="282" spans="1:26" s="425" customFormat="1" ht="12.6" customHeight="1" x14ac:dyDescent="0.3">
      <c r="A282" s="103"/>
      <c r="B282" s="453"/>
      <c r="C282" s="462"/>
      <c r="D282" s="505"/>
      <c r="E282" s="323" t="s">
        <v>429</v>
      </c>
      <c r="F282" s="336">
        <f>11.64+4.55+0.5</f>
        <v>16.690000000000001</v>
      </c>
      <c r="G282" s="512"/>
      <c r="H282" s="473"/>
      <c r="I282" s="459"/>
      <c r="J282" s="572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</row>
    <row r="283" spans="1:26" s="425" customFormat="1" ht="12.6" customHeight="1" x14ac:dyDescent="0.3">
      <c r="A283" s="103"/>
      <c r="B283" s="453"/>
      <c r="C283" s="462"/>
      <c r="D283" s="505"/>
      <c r="E283" s="323" t="s">
        <v>430</v>
      </c>
      <c r="F283" s="336">
        <f>11.64+4.55+0.5</f>
        <v>16.690000000000001</v>
      </c>
      <c r="G283" s="512"/>
      <c r="H283" s="473"/>
      <c r="I283" s="459"/>
      <c r="J283" s="572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</row>
    <row r="284" spans="1:26" s="425" customFormat="1" ht="12.6" customHeight="1" x14ac:dyDescent="0.3">
      <c r="A284" s="103"/>
      <c r="B284" s="453"/>
      <c r="C284" s="462"/>
      <c r="D284" s="505"/>
      <c r="E284" s="323" t="s">
        <v>440</v>
      </c>
      <c r="F284" s="336">
        <f>2.97+1.26</f>
        <v>4.2300000000000004</v>
      </c>
      <c r="G284" s="512"/>
      <c r="H284" s="473"/>
      <c r="I284" s="459"/>
      <c r="J284" s="572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</row>
    <row r="285" spans="1:26" s="425" customFormat="1" ht="12.6" customHeight="1" x14ac:dyDescent="0.3">
      <c r="A285" s="103"/>
      <c r="B285" s="453"/>
      <c r="C285" s="462"/>
      <c r="D285" s="505"/>
      <c r="E285" s="323" t="s">
        <v>438</v>
      </c>
      <c r="F285" s="336">
        <v>4.5599999999999996</v>
      </c>
      <c r="G285" s="512"/>
      <c r="H285" s="473"/>
      <c r="I285" s="459"/>
      <c r="J285" s="572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</row>
    <row r="286" spans="1:26" s="425" customFormat="1" ht="12.6" customHeight="1" x14ac:dyDescent="0.3">
      <c r="A286" s="103"/>
      <c r="B286" s="453"/>
      <c r="C286" s="462"/>
      <c r="D286" s="506"/>
      <c r="E286" s="323" t="s">
        <v>440</v>
      </c>
      <c r="F286" s="336">
        <f>2.97+1.26</f>
        <v>4.2300000000000004</v>
      </c>
      <c r="G286" s="512"/>
      <c r="H286" s="473"/>
      <c r="I286" s="459"/>
      <c r="J286" s="572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</row>
    <row r="287" spans="1:26" s="425" customFormat="1" ht="12.6" customHeight="1" x14ac:dyDescent="0.3">
      <c r="A287" s="103"/>
      <c r="B287" s="453"/>
      <c r="C287" s="462"/>
      <c r="D287" s="427" t="s">
        <v>355</v>
      </c>
      <c r="E287" s="323"/>
      <c r="F287" s="336">
        <f>4.28+4.28</f>
        <v>8.56</v>
      </c>
      <c r="G287" s="428">
        <f>F287</f>
        <v>8.56</v>
      </c>
      <c r="H287" s="473"/>
      <c r="I287" s="459"/>
      <c r="J287" s="572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</row>
    <row r="288" spans="1:26" s="425" customFormat="1" ht="12.6" customHeight="1" x14ac:dyDescent="0.3">
      <c r="A288" s="103"/>
      <c r="B288" s="453"/>
      <c r="C288" s="462"/>
      <c r="D288" s="427" t="s">
        <v>356</v>
      </c>
      <c r="E288" s="323" t="s">
        <v>459</v>
      </c>
      <c r="F288" s="336">
        <f>6.34+7.34</f>
        <v>13.68</v>
      </c>
      <c r="G288" s="428">
        <f>F288</f>
        <v>13.68</v>
      </c>
      <c r="H288" s="473"/>
      <c r="I288" s="459"/>
      <c r="J288" s="572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</row>
    <row r="289" spans="1:26" s="425" customFormat="1" ht="12.6" customHeight="1" x14ac:dyDescent="0.3">
      <c r="A289" s="103"/>
      <c r="B289" s="453"/>
      <c r="C289" s="462"/>
      <c r="D289" s="504" t="s">
        <v>357</v>
      </c>
      <c r="E289" s="323" t="s">
        <v>442</v>
      </c>
      <c r="F289" s="335">
        <v>3.33</v>
      </c>
      <c r="G289" s="512">
        <f>SUM(F289:F293)</f>
        <v>72.319999999999993</v>
      </c>
      <c r="H289" s="473"/>
      <c r="I289" s="459"/>
      <c r="J289" s="572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</row>
    <row r="290" spans="1:26" s="425" customFormat="1" ht="12.6" customHeight="1" x14ac:dyDescent="0.3">
      <c r="A290" s="103"/>
      <c r="B290" s="453"/>
      <c r="C290" s="462"/>
      <c r="D290" s="505"/>
      <c r="E290" s="339" t="s">
        <v>441</v>
      </c>
      <c r="F290" s="340">
        <f>6.98+7.84</f>
        <v>14.82</v>
      </c>
      <c r="G290" s="512"/>
      <c r="H290" s="473"/>
      <c r="I290" s="459"/>
      <c r="J290" s="572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</row>
    <row r="291" spans="1:26" s="425" customFormat="1" ht="12.6" customHeight="1" x14ac:dyDescent="0.3">
      <c r="A291" s="103"/>
      <c r="B291" s="453"/>
      <c r="C291" s="462"/>
      <c r="D291" s="505"/>
      <c r="E291" s="339" t="s">
        <v>443</v>
      </c>
      <c r="F291" s="348">
        <f>7.84+9.75+2.06</f>
        <v>19.649999999999999</v>
      </c>
      <c r="G291" s="512"/>
      <c r="H291" s="473"/>
      <c r="I291" s="459"/>
      <c r="J291" s="572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</row>
    <row r="292" spans="1:26" s="425" customFormat="1" ht="12.6" customHeight="1" x14ac:dyDescent="0.3">
      <c r="A292" s="103"/>
      <c r="B292" s="453"/>
      <c r="C292" s="462"/>
      <c r="D292" s="505"/>
      <c r="E292" s="339" t="s">
        <v>460</v>
      </c>
      <c r="F292" s="340">
        <v>3.55</v>
      </c>
      <c r="G292" s="512"/>
      <c r="H292" s="473"/>
      <c r="I292" s="459"/>
      <c r="J292" s="572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</row>
    <row r="293" spans="1:26" s="425" customFormat="1" ht="12.6" customHeight="1" x14ac:dyDescent="0.3">
      <c r="A293" s="103"/>
      <c r="B293" s="453"/>
      <c r="C293" s="462"/>
      <c r="D293" s="505"/>
      <c r="E293" s="339" t="s">
        <v>459</v>
      </c>
      <c r="F293" s="340">
        <f>3.39+6.65+6.17+7.13+7.63</f>
        <v>30.97</v>
      </c>
      <c r="G293" s="512"/>
      <c r="H293" s="473"/>
      <c r="I293" s="459"/>
      <c r="J293" s="572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</row>
    <row r="294" spans="1:26" s="425" customFormat="1" ht="12.6" customHeight="1" x14ac:dyDescent="0.3">
      <c r="A294" s="103"/>
      <c r="B294" s="453"/>
      <c r="C294" s="462"/>
      <c r="D294" s="427" t="s">
        <v>358</v>
      </c>
      <c r="E294" s="323" t="s">
        <v>459</v>
      </c>
      <c r="F294" s="336">
        <f>6.34+7.34+6.34+7.34</f>
        <v>27.36</v>
      </c>
      <c r="G294" s="428">
        <f>F294</f>
        <v>27.36</v>
      </c>
      <c r="H294" s="473"/>
      <c r="I294" s="459"/>
      <c r="J294" s="572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</row>
    <row r="295" spans="1:26" s="425" customFormat="1" ht="12.6" customHeight="1" x14ac:dyDescent="0.3">
      <c r="A295" s="103"/>
      <c r="B295" s="453"/>
      <c r="C295" s="462"/>
      <c r="D295" s="505" t="s">
        <v>359</v>
      </c>
      <c r="E295" s="339" t="s">
        <v>438</v>
      </c>
      <c r="F295" s="340">
        <v>3.87</v>
      </c>
      <c r="G295" s="512">
        <f>SUM(F295:F299)</f>
        <v>79.03</v>
      </c>
      <c r="H295" s="473"/>
      <c r="I295" s="459"/>
      <c r="J295" s="572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</row>
    <row r="296" spans="1:26" s="425" customFormat="1" ht="12.6" customHeight="1" x14ac:dyDescent="0.3">
      <c r="A296" s="103"/>
      <c r="B296" s="453"/>
      <c r="C296" s="462"/>
      <c r="D296" s="505"/>
      <c r="E296" s="339" t="s">
        <v>441</v>
      </c>
      <c r="F296" s="340">
        <f>8.13+7.84+0.34</f>
        <v>16.310000000000002</v>
      </c>
      <c r="G296" s="512"/>
      <c r="H296" s="473"/>
      <c r="I296" s="459"/>
      <c r="J296" s="572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</row>
    <row r="297" spans="1:26" s="425" customFormat="1" ht="12.6" customHeight="1" x14ac:dyDescent="0.3">
      <c r="A297" s="103"/>
      <c r="B297" s="453"/>
      <c r="C297" s="462"/>
      <c r="D297" s="505"/>
      <c r="E297" s="339" t="s">
        <v>438</v>
      </c>
      <c r="F297" s="340">
        <v>3.99</v>
      </c>
      <c r="G297" s="512"/>
      <c r="H297" s="473"/>
      <c r="I297" s="459"/>
      <c r="J297" s="572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</row>
    <row r="298" spans="1:26" s="425" customFormat="1" ht="12.6" customHeight="1" x14ac:dyDescent="0.3">
      <c r="A298" s="103"/>
      <c r="B298" s="453"/>
      <c r="C298" s="462"/>
      <c r="D298" s="505"/>
      <c r="E298" s="339" t="s">
        <v>443</v>
      </c>
      <c r="F298" s="340">
        <f>7.84+8.6+0.34</f>
        <v>16.779999999999998</v>
      </c>
      <c r="G298" s="512"/>
      <c r="H298" s="473"/>
      <c r="I298" s="459"/>
      <c r="J298" s="572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</row>
    <row r="299" spans="1:26" s="425" customFormat="1" ht="12.6" customHeight="1" thickBot="1" x14ac:dyDescent="0.35">
      <c r="A299" s="103"/>
      <c r="B299" s="454"/>
      <c r="C299" s="463"/>
      <c r="D299" s="594"/>
      <c r="E299" s="349" t="s">
        <v>459</v>
      </c>
      <c r="F299" s="434">
        <f>7.33+3.39+6.34+7.34+6.34+7.34</f>
        <v>38.08</v>
      </c>
      <c r="G299" s="595"/>
      <c r="H299" s="474"/>
      <c r="I299" s="460"/>
      <c r="J299" s="572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</row>
    <row r="300" spans="1:26" s="306" customFormat="1" ht="12.6" customHeight="1" thickTop="1" x14ac:dyDescent="0.3">
      <c r="A300" s="103"/>
      <c r="B300" s="452" t="s">
        <v>537</v>
      </c>
      <c r="C300" s="455" t="s">
        <v>536</v>
      </c>
      <c r="D300" s="507" t="s">
        <v>352</v>
      </c>
      <c r="E300" s="324" t="s">
        <v>428</v>
      </c>
      <c r="F300" s="324">
        <f>20.28+8.6</f>
        <v>28.880000000000003</v>
      </c>
      <c r="G300" s="512">
        <f>SUM(F300:F303)</f>
        <v>118.74999999999999</v>
      </c>
      <c r="H300" s="472">
        <f>SUM(G300:G304)</f>
        <v>123.26999999999998</v>
      </c>
      <c r="I300" s="458" t="s">
        <v>111</v>
      </c>
      <c r="J300" s="572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</row>
    <row r="301" spans="1:26" s="306" customFormat="1" ht="12.6" customHeight="1" x14ac:dyDescent="0.3">
      <c r="A301" s="103"/>
      <c r="B301" s="453"/>
      <c r="C301" s="456"/>
      <c r="D301" s="505"/>
      <c r="E301" s="323" t="s">
        <v>435</v>
      </c>
      <c r="F301" s="325">
        <v>11.68</v>
      </c>
      <c r="G301" s="512"/>
      <c r="H301" s="473"/>
      <c r="I301" s="459"/>
      <c r="J301" s="572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</row>
    <row r="302" spans="1:26" s="306" customFormat="1" ht="12.6" customHeight="1" x14ac:dyDescent="0.3">
      <c r="A302" s="103"/>
      <c r="B302" s="453"/>
      <c r="C302" s="456"/>
      <c r="D302" s="505"/>
      <c r="E302" s="323" t="s">
        <v>436</v>
      </c>
      <c r="F302" s="325">
        <v>3.55</v>
      </c>
      <c r="G302" s="512"/>
      <c r="H302" s="473"/>
      <c r="I302" s="459"/>
      <c r="J302" s="572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</row>
    <row r="303" spans="1:26" s="306" customFormat="1" ht="12.6" customHeight="1" x14ac:dyDescent="0.3">
      <c r="A303" s="103"/>
      <c r="B303" s="453"/>
      <c r="C303" s="456"/>
      <c r="D303" s="506"/>
      <c r="E303" s="323" t="s">
        <v>437</v>
      </c>
      <c r="F303" s="325">
        <f>3.1+36.19+13.95+21.4</f>
        <v>74.639999999999986</v>
      </c>
      <c r="G303" s="512"/>
      <c r="H303" s="473"/>
      <c r="I303" s="459"/>
      <c r="J303" s="572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</row>
    <row r="304" spans="1:26" s="306" customFormat="1" ht="12.6" customHeight="1" thickBot="1" x14ac:dyDescent="0.35">
      <c r="A304" s="103"/>
      <c r="B304" s="454"/>
      <c r="C304" s="457"/>
      <c r="D304" s="440" t="s">
        <v>360</v>
      </c>
      <c r="E304" s="441"/>
      <c r="F304" s="439">
        <f>2.44+2.08</f>
        <v>4.5199999999999996</v>
      </c>
      <c r="G304" s="442">
        <f>F304</f>
        <v>4.5199999999999996</v>
      </c>
      <c r="H304" s="474"/>
      <c r="I304" s="460"/>
      <c r="J304" s="572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</row>
    <row r="305" spans="1:26" s="306" customFormat="1" ht="12.6" customHeight="1" thickTop="1" x14ac:dyDescent="0.3">
      <c r="A305" s="103"/>
      <c r="B305" s="452" t="s">
        <v>468</v>
      </c>
      <c r="C305" s="455" t="s">
        <v>469</v>
      </c>
      <c r="D305" s="505" t="s">
        <v>351</v>
      </c>
      <c r="E305" s="438" t="s">
        <v>400</v>
      </c>
      <c r="F305" s="632">
        <f>13.85+12.92+15.55</f>
        <v>42.32</v>
      </c>
      <c r="G305" s="512">
        <f>SUM(F305:F309)</f>
        <v>121.4</v>
      </c>
      <c r="H305" s="472">
        <f>SUM(G305:G327)</f>
        <v>1255.33</v>
      </c>
      <c r="I305" s="458" t="s">
        <v>111</v>
      </c>
      <c r="J305" s="572" t="s">
        <v>538</v>
      </c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</row>
    <row r="306" spans="1:26" s="306" customFormat="1" ht="12.6" customHeight="1" x14ac:dyDescent="0.3">
      <c r="A306" s="103"/>
      <c r="B306" s="453"/>
      <c r="C306" s="456"/>
      <c r="D306" s="505"/>
      <c r="E306" s="438" t="s">
        <v>402</v>
      </c>
      <c r="F306" s="321">
        <f>13.99+14.08+9.23</f>
        <v>37.299999999999997</v>
      </c>
      <c r="G306" s="512"/>
      <c r="H306" s="473"/>
      <c r="I306" s="459"/>
      <c r="J306" s="572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</row>
    <row r="307" spans="1:26" s="306" customFormat="1" ht="12.6" customHeight="1" x14ac:dyDescent="0.3">
      <c r="A307" s="103"/>
      <c r="B307" s="453"/>
      <c r="C307" s="456"/>
      <c r="D307" s="505"/>
      <c r="E307" s="438" t="s">
        <v>403</v>
      </c>
      <c r="F307" s="321">
        <v>13.89</v>
      </c>
      <c r="G307" s="512"/>
      <c r="H307" s="473"/>
      <c r="I307" s="459"/>
      <c r="J307" s="572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</row>
    <row r="308" spans="1:26" s="306" customFormat="1" ht="12.6" customHeight="1" x14ac:dyDescent="0.3">
      <c r="A308" s="103"/>
      <c r="B308" s="453"/>
      <c r="C308" s="456"/>
      <c r="D308" s="505"/>
      <c r="E308" s="438" t="s">
        <v>404</v>
      </c>
      <c r="F308" s="321">
        <v>13.78</v>
      </c>
      <c r="G308" s="512"/>
      <c r="H308" s="473"/>
      <c r="I308" s="459"/>
      <c r="J308" s="572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</row>
    <row r="309" spans="1:26" s="306" customFormat="1" ht="12.6" customHeight="1" x14ac:dyDescent="0.3">
      <c r="A309" s="103"/>
      <c r="B309" s="453"/>
      <c r="C309" s="456"/>
      <c r="D309" s="505"/>
      <c r="E309" s="438" t="s">
        <v>406</v>
      </c>
      <c r="F309" s="321">
        <v>14.11</v>
      </c>
      <c r="G309" s="512"/>
      <c r="H309" s="473"/>
      <c r="I309" s="459"/>
      <c r="J309" s="572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</row>
    <row r="310" spans="1:26" s="306" customFormat="1" ht="12.6" customHeight="1" x14ac:dyDescent="0.3">
      <c r="A310" s="103"/>
      <c r="B310" s="453"/>
      <c r="C310" s="456"/>
      <c r="D310" s="436" t="s">
        <v>354</v>
      </c>
      <c r="E310" s="323" t="s">
        <v>410</v>
      </c>
      <c r="F310" s="321">
        <f>28.48+29.06+28.35</f>
        <v>85.89</v>
      </c>
      <c r="G310" s="435">
        <f>F310</f>
        <v>85.89</v>
      </c>
      <c r="H310" s="473"/>
      <c r="I310" s="459"/>
      <c r="J310" s="572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</row>
    <row r="311" spans="1:26" s="306" customFormat="1" ht="12.6" customHeight="1" x14ac:dyDescent="0.3">
      <c r="A311" s="103"/>
      <c r="B311" s="453"/>
      <c r="C311" s="456"/>
      <c r="D311" s="504" t="s">
        <v>355</v>
      </c>
      <c r="E311" s="323" t="s">
        <v>411</v>
      </c>
      <c r="F311" s="321">
        <f>37.27+18.12</f>
        <v>55.39</v>
      </c>
      <c r="G311" s="512">
        <f>SUM(F311:F314)</f>
        <v>194.95000000000002</v>
      </c>
      <c r="H311" s="473"/>
      <c r="I311" s="459"/>
      <c r="J311" s="572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</row>
    <row r="312" spans="1:26" s="306" customFormat="1" ht="12.6" customHeight="1" x14ac:dyDescent="0.3">
      <c r="A312" s="103"/>
      <c r="B312" s="453"/>
      <c r="C312" s="456"/>
      <c r="D312" s="505"/>
      <c r="E312" s="323" t="s">
        <v>412</v>
      </c>
      <c r="F312" s="321">
        <f>35.96+18.12</f>
        <v>54.08</v>
      </c>
      <c r="G312" s="512"/>
      <c r="H312" s="473"/>
      <c r="I312" s="459"/>
      <c r="J312" s="572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</row>
    <row r="313" spans="1:26" s="306" customFormat="1" ht="12.6" customHeight="1" x14ac:dyDescent="0.3">
      <c r="A313" s="103"/>
      <c r="B313" s="453"/>
      <c r="C313" s="456"/>
      <c r="D313" s="505"/>
      <c r="E313" s="323" t="s">
        <v>413</v>
      </c>
      <c r="F313" s="321">
        <f>35.87+21.15</f>
        <v>57.019999999999996</v>
      </c>
      <c r="G313" s="512"/>
      <c r="H313" s="473"/>
      <c r="I313" s="459"/>
      <c r="J313" s="572"/>
      <c r="K313" s="288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</row>
    <row r="314" spans="1:26" s="306" customFormat="1" ht="12.6" customHeight="1" x14ac:dyDescent="0.3">
      <c r="A314" s="103"/>
      <c r="B314" s="453"/>
      <c r="C314" s="456"/>
      <c r="D314" s="506"/>
      <c r="E314" s="323" t="s">
        <v>414</v>
      </c>
      <c r="F314" s="321">
        <f>12.62+15.84</f>
        <v>28.46</v>
      </c>
      <c r="G314" s="512"/>
      <c r="H314" s="473"/>
      <c r="I314" s="459"/>
      <c r="J314" s="572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</row>
    <row r="315" spans="1:26" s="306" customFormat="1" ht="12.6" customHeight="1" x14ac:dyDescent="0.3">
      <c r="A315" s="103"/>
      <c r="B315" s="453"/>
      <c r="C315" s="456"/>
      <c r="D315" s="504" t="s">
        <v>356</v>
      </c>
      <c r="E315" s="323" t="s">
        <v>415</v>
      </c>
      <c r="F315" s="321">
        <f>35.52+30.2</f>
        <v>65.72</v>
      </c>
      <c r="G315" s="512">
        <f>SUM(F315:F316)</f>
        <v>131.66999999999999</v>
      </c>
      <c r="H315" s="473"/>
      <c r="I315" s="459"/>
      <c r="J315" s="572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</row>
    <row r="316" spans="1:26" s="307" customFormat="1" ht="12.6" customHeight="1" x14ac:dyDescent="0.3">
      <c r="A316" s="103"/>
      <c r="B316" s="453"/>
      <c r="C316" s="456"/>
      <c r="D316" s="506"/>
      <c r="E316" s="323" t="s">
        <v>416</v>
      </c>
      <c r="F316" s="321">
        <f>37.73+28.22</f>
        <v>65.949999999999989</v>
      </c>
      <c r="G316" s="512"/>
      <c r="H316" s="473"/>
      <c r="I316" s="459"/>
      <c r="J316" s="572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</row>
    <row r="317" spans="1:26" s="307" customFormat="1" ht="12.6" customHeight="1" x14ac:dyDescent="0.3">
      <c r="A317" s="103"/>
      <c r="B317" s="453"/>
      <c r="C317" s="456"/>
      <c r="D317" s="504" t="s">
        <v>357</v>
      </c>
      <c r="E317" s="323" t="s">
        <v>417</v>
      </c>
      <c r="F317" s="321">
        <f>36.53+27.17</f>
        <v>63.7</v>
      </c>
      <c r="G317" s="512">
        <f>SUM(F317:F319)</f>
        <v>195.63</v>
      </c>
      <c r="H317" s="473"/>
      <c r="I317" s="459"/>
      <c r="J317" s="572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</row>
    <row r="318" spans="1:26" s="307" customFormat="1" ht="12.6" customHeight="1" x14ac:dyDescent="0.3">
      <c r="A318" s="103"/>
      <c r="B318" s="453"/>
      <c r="C318" s="456"/>
      <c r="D318" s="505"/>
      <c r="E318" s="323" t="s">
        <v>418</v>
      </c>
      <c r="F318" s="633">
        <f>35.55+30.21</f>
        <v>65.759999999999991</v>
      </c>
      <c r="G318" s="512"/>
      <c r="H318" s="473"/>
      <c r="I318" s="459"/>
      <c r="J318" s="572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</row>
    <row r="319" spans="1:26" s="307" customFormat="1" ht="12.6" customHeight="1" x14ac:dyDescent="0.3">
      <c r="A319" s="103"/>
      <c r="B319" s="453"/>
      <c r="C319" s="456"/>
      <c r="D319" s="506"/>
      <c r="E319" s="323" t="s">
        <v>419</v>
      </c>
      <c r="F319" s="633">
        <f>37.79+28.38</f>
        <v>66.17</v>
      </c>
      <c r="G319" s="512"/>
      <c r="H319" s="473"/>
      <c r="I319" s="459"/>
      <c r="J319" s="572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</row>
    <row r="320" spans="1:26" s="307" customFormat="1" ht="12.6" customHeight="1" x14ac:dyDescent="0.3">
      <c r="A320" s="103"/>
      <c r="B320" s="453"/>
      <c r="C320" s="456"/>
      <c r="D320" s="504" t="s">
        <v>358</v>
      </c>
      <c r="E320" s="323" t="s">
        <v>420</v>
      </c>
      <c r="F320" s="321">
        <f>35.52+30.2</f>
        <v>65.72</v>
      </c>
      <c r="G320" s="512">
        <f>SUM(F320:F323)</f>
        <v>262.95999999999998</v>
      </c>
      <c r="H320" s="473"/>
      <c r="I320" s="459"/>
      <c r="J320" s="572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</row>
    <row r="321" spans="1:26" s="307" customFormat="1" ht="12.6" customHeight="1" x14ac:dyDescent="0.3">
      <c r="A321" s="103"/>
      <c r="B321" s="453"/>
      <c r="C321" s="456"/>
      <c r="D321" s="505"/>
      <c r="E321" s="323" t="s">
        <v>421</v>
      </c>
      <c r="F321" s="321">
        <f>37.54+28.22</f>
        <v>65.759999999999991</v>
      </c>
      <c r="G321" s="512"/>
      <c r="H321" s="473"/>
      <c r="I321" s="459"/>
      <c r="J321" s="572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</row>
    <row r="322" spans="1:26" s="306" customFormat="1" ht="12.6" customHeight="1" x14ac:dyDescent="0.3">
      <c r="A322" s="103"/>
      <c r="B322" s="453"/>
      <c r="C322" s="456"/>
      <c r="D322" s="505"/>
      <c r="E322" s="323" t="s">
        <v>422</v>
      </c>
      <c r="F322" s="321">
        <f>35.52+30.2</f>
        <v>65.72</v>
      </c>
      <c r="G322" s="512"/>
      <c r="H322" s="473"/>
      <c r="I322" s="459"/>
      <c r="J322" s="572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</row>
    <row r="323" spans="1:26" s="306" customFormat="1" ht="12.6" customHeight="1" x14ac:dyDescent="0.3">
      <c r="A323" s="103"/>
      <c r="B323" s="453"/>
      <c r="C323" s="456"/>
      <c r="D323" s="506"/>
      <c r="E323" s="323" t="s">
        <v>423</v>
      </c>
      <c r="F323" s="321">
        <f>37.54+28.22</f>
        <v>65.759999999999991</v>
      </c>
      <c r="G323" s="512"/>
      <c r="H323" s="473"/>
      <c r="I323" s="459"/>
      <c r="J323" s="572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</row>
    <row r="324" spans="1:26" s="272" customFormat="1" ht="12.6" customHeight="1" x14ac:dyDescent="0.3">
      <c r="A324" s="103"/>
      <c r="B324" s="453"/>
      <c r="C324" s="456"/>
      <c r="D324" s="634" t="s">
        <v>359</v>
      </c>
      <c r="E324" s="323" t="s">
        <v>424</v>
      </c>
      <c r="F324" s="321">
        <f>35.52+30.2</f>
        <v>65.72</v>
      </c>
      <c r="G324" s="512">
        <f>SUM(F324:F327)</f>
        <v>262.83</v>
      </c>
      <c r="H324" s="473"/>
      <c r="I324" s="459"/>
      <c r="J324" s="572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</row>
    <row r="325" spans="1:26" s="307" customFormat="1" ht="12.6" customHeight="1" x14ac:dyDescent="0.3">
      <c r="A325" s="103"/>
      <c r="B325" s="453"/>
      <c r="C325" s="456"/>
      <c r="D325" s="635"/>
      <c r="E325" s="323" t="s">
        <v>425</v>
      </c>
      <c r="F325" s="321">
        <f>37.41+28.22</f>
        <v>65.63</v>
      </c>
      <c r="G325" s="512"/>
      <c r="H325" s="473"/>
      <c r="I325" s="459"/>
      <c r="J325" s="572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</row>
    <row r="326" spans="1:26" s="272" customFormat="1" ht="12.6" customHeight="1" x14ac:dyDescent="0.3">
      <c r="A326" s="103"/>
      <c r="B326" s="453"/>
      <c r="C326" s="456"/>
      <c r="D326" s="635"/>
      <c r="E326" s="323" t="s">
        <v>426</v>
      </c>
      <c r="F326" s="321">
        <f>35.52+30.2</f>
        <v>65.72</v>
      </c>
      <c r="G326" s="512"/>
      <c r="H326" s="473"/>
      <c r="I326" s="459"/>
      <c r="J326" s="286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</row>
    <row r="327" spans="1:26" s="272" customFormat="1" ht="12.6" customHeight="1" thickBot="1" x14ac:dyDescent="0.35">
      <c r="A327" s="103"/>
      <c r="B327" s="454"/>
      <c r="C327" s="457"/>
      <c r="D327" s="636"/>
      <c r="E327" s="349" t="s">
        <v>427</v>
      </c>
      <c r="F327" s="637">
        <f>37.54+28.22</f>
        <v>65.759999999999991</v>
      </c>
      <c r="G327" s="558"/>
      <c r="H327" s="474"/>
      <c r="I327" s="460"/>
      <c r="J327" s="248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</row>
    <row r="328" spans="1:26" s="272" customFormat="1" ht="12.6" customHeight="1" thickTop="1" x14ac:dyDescent="0.3">
      <c r="A328" s="103"/>
      <c r="B328" s="452" t="s">
        <v>470</v>
      </c>
      <c r="C328" s="461" t="s">
        <v>471</v>
      </c>
      <c r="D328" s="638" t="s">
        <v>360</v>
      </c>
      <c r="E328" s="639"/>
      <c r="F328" s="639"/>
      <c r="G328" s="437">
        <v>150.9</v>
      </c>
      <c r="H328" s="472">
        <f>SUM(G328:G329)</f>
        <v>252.3</v>
      </c>
      <c r="I328" s="458" t="s">
        <v>111</v>
      </c>
      <c r="J328" s="248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</row>
    <row r="329" spans="1:26" s="272" customFormat="1" ht="12.6" customHeight="1" thickBot="1" x14ac:dyDescent="0.35">
      <c r="A329" s="103"/>
      <c r="B329" s="454"/>
      <c r="C329" s="463"/>
      <c r="D329" s="640" t="s">
        <v>461</v>
      </c>
      <c r="E329" s="441"/>
      <c r="F329" s="441"/>
      <c r="G329" s="641">
        <f>33.8+33.8+33.8</f>
        <v>101.39999999999999</v>
      </c>
      <c r="H329" s="474"/>
      <c r="I329" s="460"/>
      <c r="J329" s="248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</row>
    <row r="330" spans="1:26" s="272" customFormat="1" ht="12.6" customHeight="1" thickTop="1" x14ac:dyDescent="0.3">
      <c r="A330" s="103"/>
      <c r="B330" s="271"/>
      <c r="C330" s="274"/>
      <c r="D330" s="275"/>
      <c r="E330" s="271"/>
      <c r="F330" s="276"/>
      <c r="G330" s="276"/>
      <c r="H330" s="277"/>
      <c r="I330" s="278"/>
      <c r="J330" s="248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</row>
    <row r="331" spans="1:26" s="272" customFormat="1" ht="12.6" customHeight="1" x14ac:dyDescent="0.3">
      <c r="A331" s="103"/>
      <c r="B331" s="271"/>
      <c r="C331" s="274"/>
      <c r="D331" s="275"/>
      <c r="E331" s="271"/>
      <c r="F331" s="276"/>
      <c r="G331" s="276"/>
      <c r="H331" s="277"/>
      <c r="I331" s="278"/>
      <c r="J331" s="248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</row>
    <row r="332" spans="1:26" ht="12.75" customHeight="1" x14ac:dyDescent="0.3">
      <c r="A332" s="103"/>
      <c r="B332" s="108"/>
      <c r="C332" s="107"/>
      <c r="D332" s="275"/>
      <c r="E332" s="271"/>
      <c r="F332" s="276"/>
      <c r="G332" s="276"/>
      <c r="H332" s="102"/>
      <c r="I332" s="111"/>
      <c r="J332" s="104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</row>
    <row r="333" spans="1:26" ht="12.75" customHeight="1" x14ac:dyDescent="0.3">
      <c r="A333" s="103"/>
      <c r="B333" s="108"/>
      <c r="C333" s="107"/>
      <c r="D333" s="275"/>
      <c r="E333" s="271"/>
      <c r="F333" s="276"/>
      <c r="G333" s="276"/>
      <c r="H333" s="102"/>
      <c r="I333" s="111"/>
      <c r="J333" s="104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</row>
    <row r="334" spans="1:26" ht="12.75" customHeight="1" x14ac:dyDescent="0.3">
      <c r="A334" s="103"/>
      <c r="B334" s="108"/>
      <c r="C334" s="107"/>
      <c r="D334" s="275"/>
      <c r="E334" s="271"/>
      <c r="F334" s="276"/>
      <c r="G334" s="276"/>
      <c r="H334" s="102"/>
      <c r="I334" s="111"/>
      <c r="J334" s="104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</row>
    <row r="335" spans="1:26" ht="12.75" customHeight="1" x14ac:dyDescent="0.3">
      <c r="A335" s="103"/>
      <c r="B335" s="108"/>
      <c r="C335" s="107"/>
      <c r="D335" s="275"/>
      <c r="E335" s="271"/>
      <c r="F335" s="276"/>
      <c r="G335" s="276"/>
      <c r="H335" s="102"/>
      <c r="I335" s="111"/>
      <c r="J335" s="104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</row>
    <row r="336" spans="1:26" ht="12.75" customHeight="1" x14ac:dyDescent="0.3">
      <c r="A336" s="103"/>
      <c r="B336" s="108"/>
      <c r="C336" s="107"/>
      <c r="D336" s="104"/>
      <c r="E336" s="109"/>
      <c r="F336" s="103"/>
      <c r="G336" s="110"/>
      <c r="H336" s="102"/>
      <c r="I336" s="111"/>
      <c r="J336" s="104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</row>
    <row r="337" spans="1:26" ht="12.75" customHeight="1" x14ac:dyDescent="0.3">
      <c r="A337" s="103"/>
      <c r="B337" s="108"/>
      <c r="C337" s="107"/>
      <c r="D337" s="104"/>
      <c r="E337" s="109"/>
      <c r="F337" s="103"/>
      <c r="G337" s="110"/>
      <c r="H337" s="102"/>
      <c r="I337" s="111"/>
      <c r="J337" s="104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</row>
    <row r="338" spans="1:26" ht="12.75" customHeight="1" x14ac:dyDescent="0.3">
      <c r="A338" s="103"/>
      <c r="B338" s="108"/>
      <c r="C338" s="107"/>
      <c r="D338" s="104"/>
      <c r="E338" s="109"/>
      <c r="F338" s="103"/>
      <c r="G338" s="110"/>
      <c r="H338" s="102"/>
      <c r="I338" s="111"/>
      <c r="J338" s="104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</row>
    <row r="339" spans="1:26" ht="12.75" customHeight="1" x14ac:dyDescent="0.3">
      <c r="A339" s="103"/>
      <c r="B339" s="108"/>
      <c r="C339" s="107"/>
      <c r="D339" s="104"/>
      <c r="E339" s="109"/>
      <c r="F339" s="103"/>
      <c r="G339" s="110"/>
      <c r="H339" s="102"/>
      <c r="I339" s="111"/>
      <c r="J339" s="104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</row>
    <row r="340" spans="1:26" ht="12.75" customHeight="1" x14ac:dyDescent="0.3">
      <c r="A340" s="103"/>
      <c r="B340" s="108"/>
      <c r="C340" s="107"/>
      <c r="D340" s="104"/>
      <c r="E340" s="109"/>
      <c r="F340" s="103"/>
      <c r="G340" s="110"/>
      <c r="H340" s="102"/>
      <c r="I340" s="111"/>
      <c r="J340" s="104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</row>
    <row r="341" spans="1:26" ht="12.75" customHeight="1" x14ac:dyDescent="0.3">
      <c r="A341" s="103"/>
      <c r="B341" s="108"/>
      <c r="C341" s="107"/>
      <c r="D341" s="104"/>
      <c r="E341" s="109"/>
      <c r="F341" s="103"/>
      <c r="G341" s="110"/>
      <c r="H341" s="102"/>
      <c r="I341" s="111"/>
      <c r="J341" s="104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</row>
    <row r="342" spans="1:26" ht="12.75" customHeight="1" x14ac:dyDescent="0.3">
      <c r="A342" s="103"/>
      <c r="B342" s="108"/>
      <c r="C342" s="107"/>
      <c r="D342" s="104"/>
      <c r="E342" s="109"/>
      <c r="F342" s="103"/>
      <c r="G342" s="110"/>
      <c r="H342" s="102"/>
      <c r="I342" s="111"/>
      <c r="J342" s="104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</row>
    <row r="343" spans="1:26" ht="12.75" customHeight="1" x14ac:dyDescent="0.3">
      <c r="A343" s="103"/>
      <c r="B343" s="108"/>
      <c r="C343" s="107"/>
      <c r="D343" s="104"/>
      <c r="E343" s="109"/>
      <c r="F343" s="103"/>
      <c r="G343" s="110"/>
      <c r="H343" s="102"/>
      <c r="I343" s="111"/>
      <c r="J343" s="104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</row>
    <row r="344" spans="1:26" ht="12.75" customHeight="1" x14ac:dyDescent="0.3">
      <c r="A344" s="103"/>
      <c r="B344" s="108"/>
      <c r="C344" s="107"/>
      <c r="D344" s="104"/>
      <c r="E344" s="109"/>
      <c r="F344" s="103"/>
      <c r="G344" s="110"/>
      <c r="H344" s="102"/>
      <c r="I344" s="111"/>
      <c r="J344" s="104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</row>
    <row r="345" spans="1:26" ht="12.75" customHeight="1" x14ac:dyDescent="0.3">
      <c r="A345" s="103"/>
      <c r="B345" s="108"/>
      <c r="C345" s="107"/>
      <c r="D345" s="104"/>
      <c r="E345" s="109"/>
      <c r="F345" s="103"/>
      <c r="G345" s="110"/>
      <c r="H345" s="102"/>
      <c r="I345" s="111"/>
      <c r="J345" s="104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</row>
    <row r="346" spans="1:26" ht="12.75" customHeight="1" x14ac:dyDescent="0.3">
      <c r="A346" s="103"/>
      <c r="B346" s="108"/>
      <c r="C346" s="107"/>
      <c r="D346" s="104"/>
      <c r="E346" s="109"/>
      <c r="F346" s="103"/>
      <c r="G346" s="110"/>
      <c r="H346" s="102"/>
      <c r="I346" s="111"/>
      <c r="J346" s="104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</row>
    <row r="347" spans="1:26" ht="12.75" customHeight="1" x14ac:dyDescent="0.3">
      <c r="A347" s="103"/>
      <c r="B347" s="108"/>
      <c r="C347" s="107"/>
      <c r="D347" s="104"/>
      <c r="E347" s="109"/>
      <c r="F347" s="103"/>
      <c r="G347" s="110"/>
      <c r="H347" s="102"/>
      <c r="I347" s="111"/>
      <c r="J347" s="104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</row>
    <row r="348" spans="1:26" ht="12.75" customHeight="1" x14ac:dyDescent="0.3">
      <c r="A348" s="103"/>
      <c r="B348" s="108"/>
      <c r="C348" s="107"/>
      <c r="D348" s="104"/>
      <c r="E348" s="109"/>
      <c r="F348" s="103"/>
      <c r="G348" s="110"/>
      <c r="H348" s="102"/>
      <c r="I348" s="111"/>
      <c r="J348" s="104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</row>
    <row r="349" spans="1:26" ht="12.75" customHeight="1" x14ac:dyDescent="0.3">
      <c r="A349" s="103"/>
      <c r="B349" s="108"/>
      <c r="C349" s="107"/>
      <c r="D349" s="104"/>
      <c r="E349" s="109"/>
      <c r="F349" s="103"/>
      <c r="G349" s="110"/>
      <c r="H349" s="102"/>
      <c r="I349" s="111"/>
      <c r="J349" s="104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</row>
    <row r="350" spans="1:26" ht="12.75" customHeight="1" x14ac:dyDescent="0.3">
      <c r="A350" s="103"/>
      <c r="B350" s="108"/>
      <c r="C350" s="107"/>
      <c r="D350" s="104"/>
      <c r="E350" s="109"/>
      <c r="F350" s="103"/>
      <c r="G350" s="110"/>
      <c r="H350" s="102"/>
      <c r="I350" s="111"/>
      <c r="J350" s="104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</row>
    <row r="351" spans="1:26" ht="12.75" customHeight="1" x14ac:dyDescent="0.3">
      <c r="A351" s="103"/>
      <c r="B351" s="108"/>
      <c r="C351" s="107"/>
      <c r="D351" s="104"/>
      <c r="E351" s="109"/>
      <c r="F351" s="103"/>
      <c r="G351" s="110"/>
      <c r="H351" s="102"/>
      <c r="I351" s="111"/>
      <c r="J351" s="104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</row>
    <row r="352" spans="1:26" ht="12.75" customHeight="1" x14ac:dyDescent="0.3">
      <c r="A352" s="103"/>
      <c r="B352" s="108"/>
      <c r="C352" s="107"/>
      <c r="D352" s="104"/>
      <c r="E352" s="109"/>
      <c r="F352" s="103"/>
      <c r="G352" s="110"/>
      <c r="H352" s="102"/>
      <c r="I352" s="111"/>
      <c r="J352" s="104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</row>
    <row r="353" spans="1:26" ht="12.75" customHeight="1" x14ac:dyDescent="0.3">
      <c r="A353" s="103"/>
      <c r="B353" s="108"/>
      <c r="C353" s="107"/>
      <c r="D353" s="104"/>
      <c r="E353" s="109"/>
      <c r="F353" s="103"/>
      <c r="G353" s="110"/>
      <c r="H353" s="102"/>
      <c r="I353" s="111"/>
      <c r="J353" s="104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</row>
    <row r="354" spans="1:26" ht="12.75" customHeight="1" x14ac:dyDescent="0.3">
      <c r="A354" s="103"/>
      <c r="B354" s="108"/>
      <c r="C354" s="107"/>
      <c r="D354" s="104"/>
      <c r="E354" s="109"/>
      <c r="F354" s="103"/>
      <c r="G354" s="110"/>
      <c r="H354" s="102"/>
      <c r="I354" s="111"/>
      <c r="J354" s="104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</row>
    <row r="355" spans="1:26" ht="12.75" customHeight="1" x14ac:dyDescent="0.3">
      <c r="A355" s="103"/>
      <c r="B355" s="108"/>
      <c r="C355" s="107"/>
      <c r="D355" s="104"/>
      <c r="E355" s="109"/>
      <c r="F355" s="103"/>
      <c r="G355" s="110"/>
      <c r="H355" s="102"/>
      <c r="I355" s="111"/>
      <c r="J355" s="104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</row>
    <row r="356" spans="1:26" ht="12.75" customHeight="1" x14ac:dyDescent="0.3">
      <c r="A356" s="103"/>
      <c r="B356" s="108"/>
      <c r="C356" s="107"/>
      <c r="D356" s="104"/>
      <c r="E356" s="109"/>
      <c r="F356" s="103"/>
      <c r="G356" s="110"/>
      <c r="H356" s="102"/>
      <c r="I356" s="111"/>
      <c r="J356" s="104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</row>
    <row r="357" spans="1:26" ht="12.75" customHeight="1" x14ac:dyDescent="0.3">
      <c r="A357" s="103"/>
      <c r="B357" s="108"/>
      <c r="C357" s="107"/>
      <c r="D357" s="104"/>
      <c r="E357" s="109"/>
      <c r="F357" s="103"/>
      <c r="G357" s="110"/>
      <c r="H357" s="102"/>
      <c r="I357" s="111"/>
      <c r="J357" s="104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</row>
    <row r="358" spans="1:26" ht="12.75" customHeight="1" x14ac:dyDescent="0.3">
      <c r="A358" s="103"/>
      <c r="B358" s="108"/>
      <c r="C358" s="107"/>
      <c r="D358" s="104"/>
      <c r="E358" s="109"/>
      <c r="F358" s="103"/>
      <c r="G358" s="110"/>
      <c r="H358" s="102"/>
      <c r="I358" s="111"/>
      <c r="J358" s="104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</row>
    <row r="359" spans="1:26" ht="12.75" customHeight="1" x14ac:dyDescent="0.3">
      <c r="A359" s="103"/>
      <c r="B359" s="108"/>
      <c r="C359" s="107"/>
      <c r="D359" s="104"/>
      <c r="E359" s="109"/>
      <c r="F359" s="103"/>
      <c r="G359" s="110"/>
      <c r="H359" s="102"/>
      <c r="I359" s="111"/>
      <c r="J359" s="104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</row>
    <row r="360" spans="1:26" ht="12.75" customHeight="1" x14ac:dyDescent="0.3">
      <c r="A360" s="103"/>
      <c r="B360" s="108"/>
      <c r="C360" s="107"/>
      <c r="D360" s="104"/>
      <c r="E360" s="109"/>
      <c r="F360" s="103"/>
      <c r="G360" s="110"/>
      <c r="H360" s="102"/>
      <c r="I360" s="111"/>
      <c r="J360" s="104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</row>
    <row r="361" spans="1:26" ht="12.75" customHeight="1" x14ac:dyDescent="0.3">
      <c r="A361" s="103"/>
      <c r="B361" s="108"/>
      <c r="C361" s="107"/>
      <c r="D361" s="104"/>
      <c r="E361" s="109"/>
      <c r="F361" s="103"/>
      <c r="G361" s="110"/>
      <c r="H361" s="102"/>
      <c r="I361" s="111"/>
      <c r="J361" s="104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</row>
    <row r="362" spans="1:26" ht="12.75" customHeight="1" x14ac:dyDescent="0.3">
      <c r="A362" s="103"/>
      <c r="B362" s="108"/>
      <c r="C362" s="107"/>
      <c r="D362" s="104"/>
      <c r="E362" s="109"/>
      <c r="F362" s="103"/>
      <c r="G362" s="110"/>
      <c r="H362" s="102"/>
      <c r="I362" s="111"/>
      <c r="J362" s="104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</row>
    <row r="363" spans="1:26" ht="12.75" customHeight="1" x14ac:dyDescent="0.3">
      <c r="A363" s="103"/>
      <c r="B363" s="108"/>
      <c r="C363" s="107"/>
      <c r="D363" s="104"/>
      <c r="E363" s="109"/>
      <c r="F363" s="103"/>
      <c r="G363" s="110"/>
      <c r="H363" s="102"/>
      <c r="I363" s="111"/>
      <c r="J363" s="104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</row>
    <row r="364" spans="1:26" ht="12.75" customHeight="1" x14ac:dyDescent="0.3">
      <c r="A364" s="103"/>
      <c r="B364" s="108"/>
      <c r="C364" s="107"/>
      <c r="D364" s="104"/>
      <c r="E364" s="109"/>
      <c r="F364" s="103"/>
      <c r="G364" s="110"/>
      <c r="H364" s="102"/>
      <c r="I364" s="111"/>
      <c r="J364" s="104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</row>
    <row r="365" spans="1:26" ht="12.75" customHeight="1" x14ac:dyDescent="0.3">
      <c r="A365" s="103"/>
      <c r="B365" s="108"/>
      <c r="C365" s="107"/>
      <c r="D365" s="104"/>
      <c r="E365" s="109"/>
      <c r="F365" s="103"/>
      <c r="G365" s="110"/>
      <c r="H365" s="102"/>
      <c r="I365" s="111"/>
      <c r="J365" s="104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</row>
    <row r="366" spans="1:26" ht="12.75" customHeight="1" x14ac:dyDescent="0.3">
      <c r="A366" s="103"/>
      <c r="B366" s="108"/>
      <c r="C366" s="107"/>
      <c r="D366" s="104"/>
      <c r="E366" s="109"/>
      <c r="F366" s="103"/>
      <c r="G366" s="110"/>
      <c r="H366" s="102"/>
      <c r="I366" s="111"/>
      <c r="J366" s="104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</row>
    <row r="367" spans="1:26" ht="12.75" customHeight="1" x14ac:dyDescent="0.3">
      <c r="A367" s="103"/>
      <c r="B367" s="108"/>
      <c r="C367" s="107"/>
      <c r="D367" s="104"/>
      <c r="E367" s="109"/>
      <c r="F367" s="103"/>
      <c r="G367" s="110"/>
      <c r="H367" s="102"/>
      <c r="I367" s="111"/>
      <c r="J367" s="104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</row>
    <row r="368" spans="1:26" ht="12.75" customHeight="1" x14ac:dyDescent="0.3">
      <c r="A368" s="103"/>
      <c r="B368" s="108"/>
      <c r="C368" s="107"/>
      <c r="D368" s="104"/>
      <c r="E368" s="109"/>
      <c r="F368" s="103"/>
      <c r="G368" s="110"/>
      <c r="H368" s="102"/>
      <c r="I368" s="111"/>
      <c r="J368" s="104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</row>
    <row r="369" spans="1:26" ht="12.75" customHeight="1" x14ac:dyDescent="0.3">
      <c r="A369" s="103"/>
      <c r="B369" s="108"/>
      <c r="C369" s="107"/>
      <c r="D369" s="104"/>
      <c r="E369" s="109"/>
      <c r="F369" s="103"/>
      <c r="G369" s="110"/>
      <c r="H369" s="102"/>
      <c r="I369" s="111"/>
      <c r="J369" s="104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</row>
    <row r="370" spans="1:26" ht="12.75" customHeight="1" x14ac:dyDescent="0.3">
      <c r="A370" s="103"/>
      <c r="B370" s="108"/>
      <c r="C370" s="107"/>
      <c r="D370" s="104"/>
      <c r="E370" s="109"/>
      <c r="F370" s="103"/>
      <c r="G370" s="110"/>
      <c r="H370" s="102"/>
      <c r="I370" s="111"/>
      <c r="J370" s="104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</row>
    <row r="371" spans="1:26" ht="12.75" customHeight="1" x14ac:dyDescent="0.3">
      <c r="A371" s="103"/>
      <c r="B371" s="108"/>
      <c r="C371" s="107"/>
      <c r="D371" s="104"/>
      <c r="E371" s="109"/>
      <c r="F371" s="103"/>
      <c r="G371" s="110"/>
      <c r="H371" s="102"/>
      <c r="I371" s="111"/>
      <c r="J371" s="104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</row>
    <row r="372" spans="1:26" ht="12.75" customHeight="1" x14ac:dyDescent="0.3">
      <c r="A372" s="103"/>
      <c r="B372" s="108"/>
      <c r="C372" s="107"/>
      <c r="D372" s="104"/>
      <c r="E372" s="109"/>
      <c r="F372" s="103"/>
      <c r="G372" s="110"/>
      <c r="H372" s="102"/>
      <c r="I372" s="111"/>
      <c r="J372" s="104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</row>
    <row r="373" spans="1:26" ht="12.75" customHeight="1" x14ac:dyDescent="0.3">
      <c r="A373" s="103"/>
      <c r="B373" s="108"/>
      <c r="C373" s="107"/>
      <c r="D373" s="104"/>
      <c r="E373" s="109"/>
      <c r="F373" s="103"/>
      <c r="G373" s="110"/>
      <c r="H373" s="102"/>
      <c r="I373" s="111"/>
      <c r="J373" s="104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</row>
    <row r="374" spans="1:26" ht="12.75" customHeight="1" x14ac:dyDescent="0.3">
      <c r="A374" s="103"/>
      <c r="B374" s="108"/>
      <c r="C374" s="107"/>
      <c r="D374" s="104"/>
      <c r="E374" s="109"/>
      <c r="F374" s="103"/>
      <c r="G374" s="110"/>
      <c r="H374" s="102"/>
      <c r="I374" s="111"/>
      <c r="J374" s="104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</row>
    <row r="375" spans="1:26" ht="12.75" customHeight="1" x14ac:dyDescent="0.3">
      <c r="A375" s="103"/>
      <c r="B375" s="108"/>
      <c r="C375" s="107"/>
      <c r="D375" s="104"/>
      <c r="E375" s="109"/>
      <c r="F375" s="103"/>
      <c r="G375" s="110"/>
      <c r="H375" s="102"/>
      <c r="I375" s="111"/>
      <c r="J375" s="104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</row>
    <row r="376" spans="1:26" ht="12.75" customHeight="1" x14ac:dyDescent="0.3">
      <c r="A376" s="103"/>
      <c r="B376" s="108"/>
      <c r="C376" s="107"/>
      <c r="D376" s="104"/>
      <c r="E376" s="109"/>
      <c r="F376" s="103"/>
      <c r="G376" s="110"/>
      <c r="H376" s="102"/>
      <c r="I376" s="111"/>
      <c r="J376" s="104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</row>
    <row r="377" spans="1:26" ht="12.75" customHeight="1" x14ac:dyDescent="0.3">
      <c r="A377" s="103"/>
      <c r="B377" s="108"/>
      <c r="C377" s="107"/>
      <c r="D377" s="104"/>
      <c r="E377" s="109"/>
      <c r="F377" s="103"/>
      <c r="G377" s="110"/>
      <c r="H377" s="102"/>
      <c r="I377" s="111"/>
      <c r="J377" s="104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</row>
    <row r="378" spans="1:26" ht="12.75" customHeight="1" x14ac:dyDescent="0.3">
      <c r="A378" s="103"/>
      <c r="B378" s="108"/>
      <c r="C378" s="107"/>
      <c r="D378" s="104"/>
      <c r="E378" s="109"/>
      <c r="F378" s="103"/>
      <c r="G378" s="110"/>
      <c r="H378" s="102"/>
      <c r="I378" s="111"/>
      <c r="J378" s="104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</row>
    <row r="379" spans="1:26" ht="12.75" customHeight="1" x14ac:dyDescent="0.3">
      <c r="A379" s="103"/>
      <c r="B379" s="108"/>
      <c r="C379" s="107"/>
      <c r="D379" s="104"/>
      <c r="E379" s="109"/>
      <c r="F379" s="103"/>
      <c r="G379" s="110"/>
      <c r="H379" s="102"/>
      <c r="I379" s="111"/>
      <c r="J379" s="104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</row>
    <row r="380" spans="1:26" ht="12.75" customHeight="1" x14ac:dyDescent="0.3">
      <c r="A380" s="103"/>
      <c r="B380" s="108"/>
      <c r="C380" s="107"/>
      <c r="D380" s="104"/>
      <c r="E380" s="109"/>
      <c r="F380" s="103"/>
      <c r="G380" s="110"/>
      <c r="H380" s="102"/>
      <c r="I380" s="111"/>
      <c r="J380" s="104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</row>
    <row r="381" spans="1:26" ht="12.75" customHeight="1" x14ac:dyDescent="0.3">
      <c r="A381" s="103"/>
      <c r="B381" s="108"/>
      <c r="C381" s="107"/>
      <c r="D381" s="104"/>
      <c r="E381" s="109"/>
      <c r="F381" s="103"/>
      <c r="G381" s="110"/>
      <c r="H381" s="102"/>
      <c r="I381" s="111"/>
      <c r="J381" s="104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</row>
    <row r="382" spans="1:26" ht="12.75" customHeight="1" x14ac:dyDescent="0.3">
      <c r="A382" s="103"/>
      <c r="B382" s="108"/>
      <c r="C382" s="107"/>
      <c r="D382" s="104"/>
      <c r="E382" s="109"/>
      <c r="F382" s="103"/>
      <c r="G382" s="110"/>
      <c r="H382" s="102"/>
      <c r="I382" s="111"/>
      <c r="J382" s="104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</row>
    <row r="383" spans="1:26" ht="12.75" customHeight="1" x14ac:dyDescent="0.3">
      <c r="A383" s="103"/>
      <c r="B383" s="108"/>
      <c r="C383" s="107"/>
      <c r="D383" s="104"/>
      <c r="E383" s="109"/>
      <c r="F383" s="103"/>
      <c r="G383" s="110"/>
      <c r="H383" s="102"/>
      <c r="I383" s="111"/>
      <c r="J383" s="104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</row>
    <row r="384" spans="1:26" ht="12.75" customHeight="1" x14ac:dyDescent="0.3">
      <c r="A384" s="103"/>
      <c r="B384" s="108"/>
      <c r="C384" s="107"/>
      <c r="D384" s="104"/>
      <c r="E384" s="109"/>
      <c r="F384" s="103"/>
      <c r="G384" s="110"/>
      <c r="H384" s="102"/>
      <c r="I384" s="111"/>
      <c r="J384" s="104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</row>
    <row r="385" spans="1:26" ht="12.75" customHeight="1" x14ac:dyDescent="0.3">
      <c r="A385" s="103"/>
      <c r="B385" s="108"/>
      <c r="C385" s="107"/>
      <c r="D385" s="104"/>
      <c r="E385" s="109"/>
      <c r="F385" s="103"/>
      <c r="G385" s="110"/>
      <c r="H385" s="102"/>
      <c r="I385" s="111"/>
      <c r="J385" s="104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</row>
    <row r="386" spans="1:26" ht="12.75" customHeight="1" x14ac:dyDescent="0.3">
      <c r="A386" s="103"/>
      <c r="B386" s="108"/>
      <c r="C386" s="107"/>
      <c r="D386" s="104"/>
      <c r="E386" s="109"/>
      <c r="F386" s="103"/>
      <c r="G386" s="110"/>
      <c r="H386" s="102"/>
      <c r="I386" s="111"/>
      <c r="J386" s="104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</row>
    <row r="387" spans="1:26" ht="12.75" customHeight="1" x14ac:dyDescent="0.3">
      <c r="A387" s="103"/>
      <c r="B387" s="108"/>
      <c r="C387" s="107"/>
      <c r="D387" s="104"/>
      <c r="E387" s="109"/>
      <c r="F387" s="103"/>
      <c r="G387" s="110"/>
      <c r="H387" s="102"/>
      <c r="I387" s="111"/>
      <c r="J387" s="104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</row>
    <row r="388" spans="1:26" ht="12.75" customHeight="1" x14ac:dyDescent="0.3">
      <c r="A388" s="103"/>
      <c r="B388" s="108"/>
      <c r="C388" s="107"/>
      <c r="D388" s="104"/>
      <c r="E388" s="109"/>
      <c r="F388" s="103"/>
      <c r="G388" s="110"/>
      <c r="H388" s="102"/>
      <c r="I388" s="111"/>
      <c r="J388" s="104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</row>
    <row r="389" spans="1:26" ht="12.75" customHeight="1" x14ac:dyDescent="0.3">
      <c r="A389" s="103"/>
      <c r="B389" s="108"/>
      <c r="C389" s="107"/>
      <c r="D389" s="104"/>
      <c r="E389" s="109"/>
      <c r="F389" s="103"/>
      <c r="G389" s="110"/>
      <c r="H389" s="102"/>
      <c r="I389" s="111"/>
      <c r="J389" s="104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</row>
    <row r="390" spans="1:26" ht="12.75" customHeight="1" x14ac:dyDescent="0.3">
      <c r="A390" s="103"/>
      <c r="B390" s="108"/>
      <c r="C390" s="107"/>
      <c r="D390" s="104"/>
      <c r="E390" s="109"/>
      <c r="F390" s="103"/>
      <c r="G390" s="110"/>
      <c r="H390" s="102"/>
      <c r="I390" s="111"/>
      <c r="J390" s="104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</row>
    <row r="391" spans="1:26" ht="12.75" customHeight="1" x14ac:dyDescent="0.3">
      <c r="A391" s="103"/>
      <c r="B391" s="108"/>
      <c r="C391" s="107"/>
      <c r="D391" s="104"/>
      <c r="E391" s="109"/>
      <c r="F391" s="103"/>
      <c r="G391" s="110"/>
      <c r="H391" s="102"/>
      <c r="I391" s="111"/>
      <c r="J391" s="104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</row>
    <row r="392" spans="1:26" ht="12.75" customHeight="1" x14ac:dyDescent="0.3">
      <c r="A392" s="103"/>
      <c r="B392" s="108"/>
      <c r="C392" s="107"/>
      <c r="D392" s="104"/>
      <c r="E392" s="109"/>
      <c r="F392" s="103"/>
      <c r="G392" s="110"/>
      <c r="H392" s="102"/>
      <c r="I392" s="111"/>
      <c r="J392" s="104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</row>
    <row r="393" spans="1:26" ht="12.75" customHeight="1" x14ac:dyDescent="0.3">
      <c r="A393" s="103"/>
      <c r="B393" s="108"/>
      <c r="C393" s="107"/>
      <c r="D393" s="104"/>
      <c r="E393" s="109"/>
      <c r="F393" s="103"/>
      <c r="G393" s="110"/>
      <c r="H393" s="102"/>
      <c r="I393" s="111"/>
      <c r="J393" s="104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</row>
    <row r="394" spans="1:26" ht="12.75" customHeight="1" x14ac:dyDescent="0.3">
      <c r="A394" s="103"/>
      <c r="B394" s="108"/>
      <c r="C394" s="107"/>
      <c r="D394" s="104"/>
      <c r="E394" s="109"/>
      <c r="F394" s="103"/>
      <c r="G394" s="110"/>
      <c r="H394" s="102"/>
      <c r="I394" s="111"/>
      <c r="J394" s="104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</row>
    <row r="395" spans="1:26" ht="12.75" customHeight="1" x14ac:dyDescent="0.3">
      <c r="A395" s="103"/>
      <c r="B395" s="108"/>
      <c r="C395" s="107"/>
      <c r="D395" s="104"/>
      <c r="E395" s="109"/>
      <c r="F395" s="103"/>
      <c r="G395" s="110"/>
      <c r="H395" s="102"/>
      <c r="I395" s="111"/>
      <c r="J395" s="104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</row>
    <row r="396" spans="1:26" ht="12.75" customHeight="1" x14ac:dyDescent="0.3">
      <c r="A396" s="103"/>
      <c r="B396" s="108"/>
      <c r="C396" s="107"/>
      <c r="D396" s="104"/>
      <c r="E396" s="109"/>
      <c r="F396" s="103"/>
      <c r="G396" s="110"/>
      <c r="H396" s="102"/>
      <c r="I396" s="111"/>
      <c r="J396" s="104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</row>
    <row r="397" spans="1:26" ht="12.75" customHeight="1" x14ac:dyDescent="0.3">
      <c r="A397" s="103"/>
      <c r="B397" s="108"/>
      <c r="C397" s="107"/>
      <c r="D397" s="104"/>
      <c r="E397" s="109"/>
      <c r="F397" s="103"/>
      <c r="G397" s="110"/>
      <c r="H397" s="102"/>
      <c r="I397" s="111"/>
      <c r="J397" s="104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</row>
    <row r="398" spans="1:26" ht="12.75" customHeight="1" x14ac:dyDescent="0.3">
      <c r="A398" s="103"/>
      <c r="B398" s="108"/>
      <c r="C398" s="107"/>
      <c r="D398" s="104"/>
      <c r="E398" s="109"/>
      <c r="F398" s="103"/>
      <c r="G398" s="110"/>
      <c r="H398" s="102"/>
      <c r="I398" s="111"/>
      <c r="J398" s="104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</row>
    <row r="399" spans="1:26" ht="12.75" customHeight="1" x14ac:dyDescent="0.3">
      <c r="A399" s="103"/>
      <c r="B399" s="108"/>
      <c r="C399" s="107"/>
      <c r="D399" s="104"/>
      <c r="E399" s="109"/>
      <c r="F399" s="103"/>
      <c r="G399" s="110"/>
      <c r="H399" s="102"/>
      <c r="I399" s="111"/>
      <c r="J399" s="104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</row>
    <row r="400" spans="1:26" ht="12.75" customHeight="1" x14ac:dyDescent="0.3">
      <c r="A400" s="103"/>
      <c r="B400" s="108"/>
      <c r="C400" s="107"/>
      <c r="D400" s="104"/>
      <c r="E400" s="109"/>
      <c r="F400" s="103"/>
      <c r="G400" s="110"/>
      <c r="H400" s="102"/>
      <c r="I400" s="111"/>
      <c r="J400" s="104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</row>
    <row r="401" spans="1:26" ht="12.75" customHeight="1" x14ac:dyDescent="0.3">
      <c r="A401" s="103"/>
      <c r="B401" s="108"/>
      <c r="C401" s="107"/>
      <c r="D401" s="104"/>
      <c r="E401" s="109"/>
      <c r="F401" s="103"/>
      <c r="G401" s="110"/>
      <c r="H401" s="102"/>
      <c r="I401" s="111"/>
      <c r="J401" s="104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</row>
    <row r="402" spans="1:26" ht="12.75" customHeight="1" x14ac:dyDescent="0.3">
      <c r="A402" s="103"/>
      <c r="B402" s="108"/>
      <c r="C402" s="107"/>
      <c r="D402" s="104"/>
      <c r="E402" s="109"/>
      <c r="F402" s="103"/>
      <c r="G402" s="110"/>
      <c r="H402" s="102"/>
      <c r="I402" s="111"/>
      <c r="J402" s="104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</row>
    <row r="403" spans="1:26" ht="12.75" customHeight="1" x14ac:dyDescent="0.3">
      <c r="A403" s="103"/>
      <c r="B403" s="108"/>
      <c r="C403" s="107"/>
      <c r="D403" s="104"/>
      <c r="E403" s="109"/>
      <c r="F403" s="103"/>
      <c r="G403" s="110"/>
      <c r="H403" s="102"/>
      <c r="I403" s="111"/>
      <c r="J403" s="104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</row>
    <row r="404" spans="1:26" ht="12.75" customHeight="1" x14ac:dyDescent="0.3">
      <c r="A404" s="103"/>
      <c r="B404" s="108"/>
      <c r="C404" s="107"/>
      <c r="D404" s="104"/>
      <c r="E404" s="109"/>
      <c r="F404" s="103"/>
      <c r="G404" s="110"/>
      <c r="H404" s="102"/>
      <c r="I404" s="111"/>
      <c r="J404" s="104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</row>
    <row r="405" spans="1:26" ht="12.75" customHeight="1" x14ac:dyDescent="0.3">
      <c r="A405" s="103"/>
      <c r="B405" s="108"/>
      <c r="C405" s="107"/>
      <c r="D405" s="104"/>
      <c r="E405" s="109"/>
      <c r="F405" s="103"/>
      <c r="G405" s="110"/>
      <c r="H405" s="102"/>
      <c r="I405" s="111"/>
      <c r="J405" s="104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</row>
    <row r="406" spans="1:26" ht="12.75" customHeight="1" x14ac:dyDescent="0.3">
      <c r="A406" s="103"/>
      <c r="B406" s="108"/>
      <c r="C406" s="107"/>
      <c r="D406" s="104"/>
      <c r="E406" s="109"/>
      <c r="F406" s="103"/>
      <c r="G406" s="110"/>
      <c r="H406" s="102"/>
      <c r="I406" s="111"/>
      <c r="J406" s="104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</row>
    <row r="407" spans="1:26" ht="12.75" customHeight="1" x14ac:dyDescent="0.3">
      <c r="A407" s="103"/>
      <c r="B407" s="108"/>
      <c r="C407" s="107"/>
      <c r="D407" s="104"/>
      <c r="E407" s="109"/>
      <c r="F407" s="103"/>
      <c r="G407" s="110"/>
      <c r="H407" s="102"/>
      <c r="I407" s="111"/>
      <c r="J407" s="104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</row>
    <row r="408" spans="1:26" ht="12.75" customHeight="1" x14ac:dyDescent="0.3">
      <c r="A408" s="103"/>
      <c r="B408" s="108"/>
      <c r="C408" s="107"/>
      <c r="D408" s="104"/>
      <c r="E408" s="109"/>
      <c r="F408" s="103"/>
      <c r="G408" s="110"/>
      <c r="H408" s="102"/>
      <c r="I408" s="111"/>
      <c r="J408" s="104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</row>
    <row r="409" spans="1:26" ht="12.75" customHeight="1" x14ac:dyDescent="0.3">
      <c r="A409" s="103"/>
      <c r="B409" s="108"/>
      <c r="C409" s="107"/>
      <c r="D409" s="104"/>
      <c r="E409" s="109"/>
      <c r="F409" s="103"/>
      <c r="G409" s="110"/>
      <c r="H409" s="102"/>
      <c r="I409" s="111"/>
      <c r="J409" s="104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</row>
    <row r="410" spans="1:26" ht="12.75" customHeight="1" x14ac:dyDescent="0.3">
      <c r="A410" s="103"/>
      <c r="B410" s="108"/>
      <c r="C410" s="107"/>
      <c r="D410" s="104"/>
      <c r="E410" s="109"/>
      <c r="F410" s="103"/>
      <c r="G410" s="110"/>
      <c r="H410" s="102"/>
      <c r="I410" s="111"/>
      <c r="J410" s="104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</row>
    <row r="411" spans="1:26" ht="12.75" customHeight="1" x14ac:dyDescent="0.3">
      <c r="A411" s="103"/>
      <c r="B411" s="108"/>
      <c r="C411" s="107"/>
      <c r="D411" s="104"/>
      <c r="E411" s="109"/>
      <c r="F411" s="103"/>
      <c r="G411" s="110"/>
      <c r="H411" s="102"/>
      <c r="I411" s="111"/>
      <c r="J411" s="104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</row>
    <row r="412" spans="1:26" ht="12.75" customHeight="1" x14ac:dyDescent="0.3">
      <c r="A412" s="103"/>
      <c r="B412" s="108"/>
      <c r="C412" s="107"/>
      <c r="D412" s="104"/>
      <c r="E412" s="109"/>
      <c r="F412" s="103"/>
      <c r="G412" s="110"/>
      <c r="H412" s="102"/>
      <c r="I412" s="111"/>
      <c r="J412" s="104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</row>
    <row r="413" spans="1:26" ht="12.75" customHeight="1" x14ac:dyDescent="0.3">
      <c r="A413" s="103"/>
      <c r="B413" s="108"/>
      <c r="C413" s="107"/>
      <c r="D413" s="104"/>
      <c r="E413" s="109"/>
      <c r="F413" s="103"/>
      <c r="G413" s="110"/>
      <c r="H413" s="102"/>
      <c r="I413" s="111"/>
      <c r="J413" s="104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</row>
    <row r="414" spans="1:26" ht="12.75" customHeight="1" x14ac:dyDescent="0.3">
      <c r="A414" s="103"/>
      <c r="B414" s="108"/>
      <c r="C414" s="107"/>
      <c r="D414" s="104"/>
      <c r="E414" s="109"/>
      <c r="F414" s="103"/>
      <c r="G414" s="110"/>
      <c r="H414" s="102"/>
      <c r="I414" s="111"/>
      <c r="J414" s="104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</row>
    <row r="415" spans="1:26" ht="12.75" customHeight="1" x14ac:dyDescent="0.3">
      <c r="A415" s="103"/>
      <c r="B415" s="108"/>
      <c r="C415" s="107"/>
      <c r="D415" s="104"/>
      <c r="E415" s="109"/>
      <c r="F415" s="103"/>
      <c r="G415" s="110"/>
      <c r="H415" s="102"/>
      <c r="I415" s="111"/>
      <c r="J415" s="104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</row>
    <row r="416" spans="1:26" ht="12.75" customHeight="1" x14ac:dyDescent="0.3">
      <c r="A416" s="103"/>
      <c r="B416" s="108"/>
      <c r="C416" s="107"/>
      <c r="D416" s="104"/>
      <c r="E416" s="109"/>
      <c r="F416" s="103"/>
      <c r="G416" s="110"/>
      <c r="H416" s="102"/>
      <c r="I416" s="111"/>
      <c r="J416" s="104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</row>
    <row r="417" spans="1:26" ht="12.75" customHeight="1" x14ac:dyDescent="0.3">
      <c r="A417" s="103"/>
      <c r="B417" s="108"/>
      <c r="C417" s="107"/>
      <c r="D417" s="104"/>
      <c r="E417" s="109"/>
      <c r="F417" s="103"/>
      <c r="G417" s="110"/>
      <c r="H417" s="102"/>
      <c r="I417" s="111"/>
      <c r="J417" s="104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</row>
    <row r="418" spans="1:26" ht="12.75" customHeight="1" x14ac:dyDescent="0.3">
      <c r="A418" s="103"/>
      <c r="B418" s="108"/>
      <c r="C418" s="107"/>
      <c r="D418" s="104"/>
      <c r="E418" s="109"/>
      <c r="F418" s="103"/>
      <c r="G418" s="110"/>
      <c r="H418" s="102"/>
      <c r="I418" s="111"/>
      <c r="J418" s="104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</row>
    <row r="419" spans="1:26" ht="12.75" customHeight="1" x14ac:dyDescent="0.3">
      <c r="A419" s="103"/>
      <c r="B419" s="108"/>
      <c r="C419" s="107"/>
      <c r="D419" s="104"/>
      <c r="E419" s="109"/>
      <c r="F419" s="103"/>
      <c r="G419" s="110"/>
      <c r="H419" s="102"/>
      <c r="I419" s="111"/>
      <c r="J419" s="104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</row>
    <row r="420" spans="1:26" ht="12.75" customHeight="1" x14ac:dyDescent="0.3">
      <c r="A420" s="103"/>
      <c r="B420" s="108"/>
      <c r="C420" s="107"/>
      <c r="D420" s="104"/>
      <c r="E420" s="109"/>
      <c r="F420" s="103"/>
      <c r="G420" s="110"/>
      <c r="H420" s="102"/>
      <c r="I420" s="111"/>
      <c r="J420" s="104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</row>
    <row r="421" spans="1:26" ht="12.75" customHeight="1" x14ac:dyDescent="0.3">
      <c r="A421" s="103"/>
      <c r="B421" s="108"/>
      <c r="C421" s="107"/>
      <c r="D421" s="104"/>
      <c r="E421" s="109"/>
      <c r="F421" s="103"/>
      <c r="G421" s="110"/>
      <c r="H421" s="102"/>
      <c r="I421" s="111"/>
      <c r="J421" s="104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</row>
    <row r="422" spans="1:26" ht="12.75" customHeight="1" x14ac:dyDescent="0.3">
      <c r="A422" s="103"/>
      <c r="B422" s="108"/>
      <c r="C422" s="107"/>
      <c r="D422" s="104"/>
      <c r="E422" s="109"/>
      <c r="F422" s="103"/>
      <c r="G422" s="110"/>
      <c r="H422" s="102"/>
      <c r="I422" s="111"/>
      <c r="J422" s="104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</row>
    <row r="423" spans="1:26" ht="12.75" customHeight="1" x14ac:dyDescent="0.3">
      <c r="A423" s="103"/>
      <c r="B423" s="108"/>
      <c r="C423" s="107"/>
      <c r="D423" s="104"/>
      <c r="E423" s="109"/>
      <c r="F423" s="103"/>
      <c r="G423" s="110"/>
      <c r="H423" s="102"/>
      <c r="I423" s="111"/>
      <c r="J423" s="104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</row>
    <row r="424" spans="1:26" ht="12.75" customHeight="1" x14ac:dyDescent="0.3">
      <c r="A424" s="103"/>
      <c r="B424" s="108"/>
      <c r="C424" s="107"/>
      <c r="D424" s="104"/>
      <c r="E424" s="109"/>
      <c r="F424" s="103"/>
      <c r="G424" s="110"/>
      <c r="H424" s="102"/>
      <c r="I424" s="111"/>
      <c r="J424" s="104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</row>
    <row r="425" spans="1:26" ht="12.75" customHeight="1" x14ac:dyDescent="0.3">
      <c r="A425" s="103"/>
      <c r="B425" s="108"/>
      <c r="C425" s="107"/>
      <c r="D425" s="104"/>
      <c r="E425" s="109"/>
      <c r="F425" s="103"/>
      <c r="G425" s="110"/>
      <c r="H425" s="102"/>
      <c r="I425" s="111"/>
      <c r="J425" s="104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</row>
    <row r="426" spans="1:26" ht="12.75" customHeight="1" x14ac:dyDescent="0.3">
      <c r="A426" s="103"/>
      <c r="B426" s="108"/>
      <c r="C426" s="107"/>
      <c r="D426" s="104"/>
      <c r="E426" s="109"/>
      <c r="F426" s="103"/>
      <c r="G426" s="110"/>
      <c r="H426" s="102"/>
      <c r="I426" s="111"/>
      <c r="J426" s="104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</row>
    <row r="427" spans="1:26" ht="12.75" customHeight="1" x14ac:dyDescent="0.3">
      <c r="A427" s="103"/>
      <c r="B427" s="108"/>
      <c r="C427" s="107"/>
      <c r="D427" s="104"/>
      <c r="E427" s="109"/>
      <c r="F427" s="103"/>
      <c r="G427" s="110"/>
      <c r="H427" s="102"/>
      <c r="I427" s="111"/>
      <c r="J427" s="104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</row>
    <row r="428" spans="1:26" ht="12.75" customHeight="1" x14ac:dyDescent="0.3">
      <c r="A428" s="103"/>
      <c r="B428" s="108"/>
      <c r="C428" s="107"/>
      <c r="D428" s="104"/>
      <c r="E428" s="109"/>
      <c r="F428" s="103"/>
      <c r="G428" s="110"/>
      <c r="H428" s="102"/>
      <c r="I428" s="111"/>
      <c r="J428" s="104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</row>
    <row r="429" spans="1:26" ht="12.75" customHeight="1" x14ac:dyDescent="0.3">
      <c r="A429" s="103"/>
      <c r="B429" s="108"/>
      <c r="C429" s="107"/>
      <c r="D429" s="104"/>
      <c r="E429" s="109"/>
      <c r="F429" s="103"/>
      <c r="G429" s="110"/>
      <c r="H429" s="102"/>
      <c r="I429" s="111"/>
      <c r="J429" s="104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</row>
    <row r="430" spans="1:26" ht="12.75" customHeight="1" x14ac:dyDescent="0.3">
      <c r="A430" s="103"/>
      <c r="B430" s="108"/>
      <c r="C430" s="107"/>
      <c r="D430" s="104"/>
      <c r="E430" s="109"/>
      <c r="F430" s="103"/>
      <c r="G430" s="110"/>
      <c r="H430" s="102"/>
      <c r="I430" s="111"/>
      <c r="J430" s="104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</row>
    <row r="431" spans="1:26" ht="12.75" customHeight="1" x14ac:dyDescent="0.3">
      <c r="A431" s="103"/>
      <c r="B431" s="108"/>
      <c r="C431" s="107"/>
      <c r="D431" s="104"/>
      <c r="E431" s="109"/>
      <c r="F431" s="103"/>
      <c r="G431" s="110"/>
      <c r="H431" s="102"/>
      <c r="I431" s="111"/>
      <c r="J431" s="104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</row>
    <row r="432" spans="1:26" ht="12.75" customHeight="1" x14ac:dyDescent="0.3">
      <c r="A432" s="103"/>
      <c r="B432" s="108"/>
      <c r="C432" s="107"/>
      <c r="D432" s="104"/>
      <c r="E432" s="109"/>
      <c r="F432" s="103"/>
      <c r="G432" s="110"/>
      <c r="H432" s="102"/>
      <c r="I432" s="111"/>
      <c r="J432" s="104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</row>
    <row r="433" spans="1:26" ht="12.75" customHeight="1" x14ac:dyDescent="0.3">
      <c r="A433" s="103"/>
      <c r="B433" s="108"/>
      <c r="C433" s="107"/>
      <c r="D433" s="104"/>
      <c r="E433" s="109"/>
      <c r="F433" s="103"/>
      <c r="G433" s="110"/>
      <c r="H433" s="102"/>
      <c r="I433" s="111"/>
      <c r="J433" s="104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</row>
    <row r="434" spans="1:26" ht="12.75" customHeight="1" x14ac:dyDescent="0.3">
      <c r="A434" s="103"/>
      <c r="B434" s="108"/>
      <c r="C434" s="107"/>
      <c r="D434" s="104"/>
      <c r="E434" s="109"/>
      <c r="F434" s="103"/>
      <c r="G434" s="110"/>
      <c r="H434" s="102"/>
      <c r="I434" s="111"/>
      <c r="J434" s="104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</row>
    <row r="435" spans="1:26" ht="12.75" customHeight="1" x14ac:dyDescent="0.3">
      <c r="A435" s="103"/>
      <c r="B435" s="108"/>
      <c r="C435" s="107"/>
      <c r="D435" s="104"/>
      <c r="E435" s="109"/>
      <c r="F435" s="103"/>
      <c r="G435" s="110"/>
      <c r="H435" s="102"/>
      <c r="I435" s="111"/>
      <c r="J435" s="104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</row>
    <row r="436" spans="1:26" ht="12.75" customHeight="1" x14ac:dyDescent="0.3">
      <c r="A436" s="103"/>
      <c r="B436" s="108"/>
      <c r="C436" s="107"/>
      <c r="D436" s="104"/>
      <c r="E436" s="109"/>
      <c r="F436" s="103"/>
      <c r="G436" s="110"/>
      <c r="H436" s="102"/>
      <c r="I436" s="111"/>
      <c r="J436" s="104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</row>
    <row r="437" spans="1:26" ht="12.75" customHeight="1" x14ac:dyDescent="0.3">
      <c r="A437" s="103"/>
      <c r="B437" s="108"/>
      <c r="C437" s="107"/>
      <c r="D437" s="104"/>
      <c r="E437" s="109"/>
      <c r="F437" s="103"/>
      <c r="G437" s="110"/>
      <c r="H437" s="102"/>
      <c r="I437" s="111"/>
      <c r="J437" s="104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</row>
    <row r="438" spans="1:26" ht="12.75" customHeight="1" x14ac:dyDescent="0.3">
      <c r="A438" s="103"/>
      <c r="B438" s="108"/>
      <c r="C438" s="107"/>
      <c r="D438" s="104"/>
      <c r="E438" s="109"/>
      <c r="F438" s="103"/>
      <c r="G438" s="110"/>
      <c r="H438" s="102"/>
      <c r="I438" s="111"/>
      <c r="J438" s="104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</row>
    <row r="439" spans="1:26" ht="12.75" customHeight="1" x14ac:dyDescent="0.3">
      <c r="A439" s="103"/>
      <c r="B439" s="108"/>
      <c r="C439" s="107"/>
      <c r="D439" s="104"/>
      <c r="E439" s="109"/>
      <c r="F439" s="103"/>
      <c r="G439" s="110"/>
      <c r="H439" s="102"/>
      <c r="I439" s="111"/>
      <c r="J439" s="104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</row>
    <row r="440" spans="1:26" ht="12.75" customHeight="1" x14ac:dyDescent="0.3">
      <c r="A440" s="103"/>
      <c r="B440" s="108"/>
      <c r="C440" s="107"/>
      <c r="D440" s="104"/>
      <c r="E440" s="109"/>
      <c r="F440" s="103"/>
      <c r="G440" s="110"/>
      <c r="H440" s="102"/>
      <c r="I440" s="111"/>
      <c r="J440" s="104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</row>
    <row r="441" spans="1:26" ht="12.75" customHeight="1" x14ac:dyDescent="0.3">
      <c r="A441" s="103"/>
      <c r="B441" s="108"/>
      <c r="C441" s="107"/>
      <c r="D441" s="104"/>
      <c r="E441" s="109"/>
      <c r="F441" s="103"/>
      <c r="G441" s="110"/>
      <c r="H441" s="102"/>
      <c r="I441" s="111"/>
      <c r="J441" s="104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</row>
    <row r="442" spans="1:26" ht="12.75" customHeight="1" x14ac:dyDescent="0.3">
      <c r="A442" s="103"/>
      <c r="B442" s="108"/>
      <c r="C442" s="107"/>
      <c r="D442" s="104"/>
      <c r="E442" s="109"/>
      <c r="F442" s="103"/>
      <c r="G442" s="110"/>
      <c r="H442" s="102"/>
      <c r="I442" s="111"/>
      <c r="J442" s="104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</row>
    <row r="443" spans="1:26" ht="12.75" customHeight="1" x14ac:dyDescent="0.3">
      <c r="A443" s="103"/>
      <c r="B443" s="108"/>
      <c r="C443" s="107"/>
      <c r="D443" s="104"/>
      <c r="E443" s="109"/>
      <c r="F443" s="103"/>
      <c r="G443" s="110"/>
      <c r="H443" s="102"/>
      <c r="I443" s="111"/>
      <c r="J443" s="104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</row>
    <row r="444" spans="1:26" ht="12.75" customHeight="1" x14ac:dyDescent="0.3">
      <c r="A444" s="103"/>
      <c r="B444" s="108"/>
      <c r="C444" s="107"/>
      <c r="D444" s="104"/>
      <c r="E444" s="109"/>
      <c r="F444" s="103"/>
      <c r="G444" s="110"/>
      <c r="H444" s="102"/>
      <c r="I444" s="111"/>
      <c r="J444" s="104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</row>
    <row r="445" spans="1:26" ht="12.75" customHeight="1" x14ac:dyDescent="0.3">
      <c r="A445" s="103"/>
      <c r="B445" s="108"/>
      <c r="C445" s="107"/>
      <c r="D445" s="104"/>
      <c r="E445" s="109"/>
      <c r="F445" s="103"/>
      <c r="G445" s="110"/>
      <c r="H445" s="102"/>
      <c r="I445" s="111"/>
      <c r="J445" s="104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</row>
    <row r="446" spans="1:26" ht="12.75" customHeight="1" x14ac:dyDescent="0.3">
      <c r="A446" s="103"/>
      <c r="B446" s="108"/>
      <c r="C446" s="107"/>
      <c r="D446" s="104"/>
      <c r="E446" s="109"/>
      <c r="F446" s="103"/>
      <c r="G446" s="110"/>
      <c r="H446" s="102"/>
      <c r="I446" s="111"/>
      <c r="J446" s="104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</row>
    <row r="447" spans="1:26" ht="12.75" customHeight="1" x14ac:dyDescent="0.3">
      <c r="A447" s="103"/>
      <c r="B447" s="108"/>
      <c r="C447" s="107"/>
      <c r="D447" s="104"/>
      <c r="E447" s="109"/>
      <c r="F447" s="103"/>
      <c r="G447" s="110"/>
      <c r="H447" s="102"/>
      <c r="I447" s="111"/>
      <c r="J447" s="104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</row>
    <row r="448" spans="1:26" ht="12.75" customHeight="1" x14ac:dyDescent="0.3">
      <c r="A448" s="103"/>
      <c r="B448" s="108"/>
      <c r="C448" s="107"/>
      <c r="D448" s="104"/>
      <c r="E448" s="109"/>
      <c r="F448" s="103"/>
      <c r="G448" s="110"/>
      <c r="H448" s="102"/>
      <c r="I448" s="111"/>
      <c r="J448" s="104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</row>
    <row r="449" spans="1:26" ht="12.75" customHeight="1" x14ac:dyDescent="0.3">
      <c r="A449" s="103"/>
      <c r="B449" s="108"/>
      <c r="C449" s="107"/>
      <c r="D449" s="104"/>
      <c r="E449" s="109"/>
      <c r="F449" s="103"/>
      <c r="G449" s="110"/>
      <c r="H449" s="102"/>
      <c r="I449" s="111"/>
      <c r="J449" s="104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</row>
    <row r="450" spans="1:26" ht="12.75" customHeight="1" x14ac:dyDescent="0.3">
      <c r="A450" s="103"/>
      <c r="B450" s="108"/>
      <c r="C450" s="107"/>
      <c r="D450" s="104"/>
      <c r="E450" s="109"/>
      <c r="F450" s="103"/>
      <c r="G450" s="110"/>
      <c r="H450" s="102"/>
      <c r="I450" s="111"/>
      <c r="J450" s="104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</row>
    <row r="451" spans="1:26" ht="12.75" customHeight="1" x14ac:dyDescent="0.3">
      <c r="A451" s="103"/>
      <c r="B451" s="108"/>
      <c r="C451" s="107"/>
      <c r="D451" s="104"/>
      <c r="E451" s="109"/>
      <c r="F451" s="103"/>
      <c r="G451" s="110"/>
      <c r="H451" s="102"/>
      <c r="I451" s="111"/>
      <c r="J451" s="104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</row>
    <row r="452" spans="1:26" ht="12.75" customHeight="1" x14ac:dyDescent="0.3">
      <c r="A452" s="103"/>
      <c r="B452" s="108"/>
      <c r="C452" s="107"/>
      <c r="D452" s="104"/>
      <c r="E452" s="109"/>
      <c r="F452" s="103"/>
      <c r="G452" s="110"/>
      <c r="H452" s="102"/>
      <c r="I452" s="111"/>
      <c r="J452" s="104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</row>
    <row r="453" spans="1:26" ht="12.75" customHeight="1" x14ac:dyDescent="0.3">
      <c r="A453" s="103"/>
      <c r="B453" s="108"/>
      <c r="C453" s="107"/>
      <c r="D453" s="104"/>
      <c r="E453" s="109"/>
      <c r="F453" s="103"/>
      <c r="G453" s="110"/>
      <c r="H453" s="102"/>
      <c r="I453" s="111"/>
      <c r="J453" s="104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</row>
    <row r="454" spans="1:26" ht="12.75" customHeight="1" x14ac:dyDescent="0.3">
      <c r="A454" s="103"/>
      <c r="B454" s="108"/>
      <c r="C454" s="107"/>
      <c r="D454" s="104"/>
      <c r="E454" s="109"/>
      <c r="F454" s="103"/>
      <c r="G454" s="110"/>
      <c r="H454" s="102"/>
      <c r="I454" s="111"/>
      <c r="J454" s="104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</row>
    <row r="455" spans="1:26" ht="12.75" customHeight="1" x14ac:dyDescent="0.3">
      <c r="A455" s="103"/>
      <c r="B455" s="108"/>
      <c r="C455" s="107"/>
      <c r="D455" s="104"/>
      <c r="E455" s="109"/>
      <c r="F455" s="103"/>
      <c r="G455" s="110"/>
      <c r="H455" s="102"/>
      <c r="I455" s="111"/>
      <c r="J455" s="104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</row>
    <row r="456" spans="1:26" ht="12.75" customHeight="1" x14ac:dyDescent="0.3">
      <c r="A456" s="103"/>
      <c r="B456" s="108"/>
      <c r="C456" s="107"/>
      <c r="D456" s="104"/>
      <c r="E456" s="109"/>
      <c r="F456" s="103"/>
      <c r="G456" s="110"/>
      <c r="H456" s="102"/>
      <c r="I456" s="111"/>
      <c r="J456" s="104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</row>
    <row r="457" spans="1:26" ht="12.75" customHeight="1" x14ac:dyDescent="0.3">
      <c r="A457" s="103"/>
      <c r="B457" s="108"/>
      <c r="C457" s="107"/>
      <c r="D457" s="104"/>
      <c r="E457" s="109"/>
      <c r="F457" s="103"/>
      <c r="G457" s="110"/>
      <c r="H457" s="102"/>
      <c r="I457" s="111"/>
      <c r="J457" s="104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</row>
    <row r="458" spans="1:26" ht="12.75" customHeight="1" x14ac:dyDescent="0.3">
      <c r="A458" s="103"/>
      <c r="B458" s="108"/>
      <c r="C458" s="107"/>
      <c r="D458" s="104"/>
      <c r="E458" s="109"/>
      <c r="F458" s="103"/>
      <c r="G458" s="110"/>
      <c r="H458" s="102"/>
      <c r="I458" s="111"/>
      <c r="J458" s="104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</row>
    <row r="459" spans="1:26" ht="12.75" customHeight="1" x14ac:dyDescent="0.3">
      <c r="A459" s="103"/>
      <c r="B459" s="108"/>
      <c r="C459" s="107"/>
      <c r="D459" s="104"/>
      <c r="E459" s="109"/>
      <c r="F459" s="103"/>
      <c r="G459" s="110"/>
      <c r="H459" s="102"/>
      <c r="I459" s="111"/>
      <c r="J459" s="104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</row>
    <row r="460" spans="1:26" ht="12.75" customHeight="1" x14ac:dyDescent="0.3">
      <c r="A460" s="103"/>
      <c r="B460" s="108"/>
      <c r="C460" s="107"/>
      <c r="D460" s="104"/>
      <c r="E460" s="109"/>
      <c r="F460" s="103"/>
      <c r="G460" s="110"/>
      <c r="H460" s="102"/>
      <c r="I460" s="111"/>
      <c r="J460" s="104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</row>
    <row r="461" spans="1:26" ht="12.75" customHeight="1" x14ac:dyDescent="0.3">
      <c r="A461" s="103"/>
      <c r="B461" s="108"/>
      <c r="C461" s="107"/>
      <c r="D461" s="104"/>
      <c r="E461" s="109"/>
      <c r="F461" s="103"/>
      <c r="G461" s="110"/>
      <c r="H461" s="102"/>
      <c r="I461" s="111"/>
      <c r="J461" s="104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</row>
    <row r="462" spans="1:26" ht="12.75" customHeight="1" x14ac:dyDescent="0.3">
      <c r="A462" s="103"/>
      <c r="B462" s="108"/>
      <c r="C462" s="107"/>
      <c r="D462" s="104"/>
      <c r="E462" s="109"/>
      <c r="F462" s="103"/>
      <c r="G462" s="110"/>
      <c r="H462" s="102"/>
      <c r="I462" s="111"/>
      <c r="J462" s="104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</row>
    <row r="463" spans="1:26" ht="12.75" customHeight="1" x14ac:dyDescent="0.3">
      <c r="A463" s="103"/>
      <c r="B463" s="108"/>
      <c r="C463" s="107"/>
      <c r="D463" s="104"/>
      <c r="E463" s="109"/>
      <c r="F463" s="103"/>
      <c r="G463" s="110"/>
      <c r="H463" s="102"/>
      <c r="I463" s="111"/>
      <c r="J463" s="104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</row>
    <row r="464" spans="1:26" ht="12.75" customHeight="1" x14ac:dyDescent="0.3">
      <c r="A464" s="103"/>
      <c r="B464" s="108"/>
      <c r="C464" s="107"/>
      <c r="D464" s="104"/>
      <c r="E464" s="109"/>
      <c r="F464" s="103"/>
      <c r="G464" s="110"/>
      <c r="H464" s="102"/>
      <c r="I464" s="111"/>
      <c r="J464" s="104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</row>
    <row r="465" spans="1:26" ht="12.75" customHeight="1" x14ac:dyDescent="0.3">
      <c r="A465" s="103"/>
      <c r="B465" s="108"/>
      <c r="C465" s="107"/>
      <c r="D465" s="104"/>
      <c r="E465" s="109"/>
      <c r="F465" s="103"/>
      <c r="G465" s="110"/>
      <c r="H465" s="102"/>
      <c r="I465" s="111"/>
      <c r="J465" s="104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</row>
    <row r="466" spans="1:26" ht="12.75" customHeight="1" x14ac:dyDescent="0.3">
      <c r="A466" s="103"/>
      <c r="B466" s="108"/>
      <c r="C466" s="107"/>
      <c r="D466" s="104"/>
      <c r="E466" s="109"/>
      <c r="F466" s="103"/>
      <c r="G466" s="110"/>
      <c r="H466" s="102"/>
      <c r="I466" s="111"/>
      <c r="J466" s="104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</row>
    <row r="467" spans="1:26" ht="12.75" customHeight="1" x14ac:dyDescent="0.3">
      <c r="A467" s="103"/>
      <c r="B467" s="108"/>
      <c r="C467" s="107"/>
      <c r="D467" s="104"/>
      <c r="E467" s="109"/>
      <c r="F467" s="103"/>
      <c r="G467" s="110"/>
      <c r="H467" s="102"/>
      <c r="I467" s="111"/>
      <c r="J467" s="104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</row>
    <row r="468" spans="1:26" ht="12.75" customHeight="1" x14ac:dyDescent="0.3">
      <c r="A468" s="103"/>
      <c r="B468" s="108"/>
      <c r="C468" s="107"/>
      <c r="D468" s="104"/>
      <c r="E468" s="109"/>
      <c r="F468" s="103"/>
      <c r="G468" s="110"/>
      <c r="H468" s="102"/>
      <c r="I468" s="111"/>
      <c r="J468" s="104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</row>
    <row r="469" spans="1:26" ht="12.75" customHeight="1" x14ac:dyDescent="0.3">
      <c r="A469" s="103"/>
      <c r="B469" s="108"/>
      <c r="C469" s="107"/>
      <c r="D469" s="104"/>
      <c r="E469" s="109"/>
      <c r="F469" s="103"/>
      <c r="G469" s="110"/>
      <c r="H469" s="102"/>
      <c r="I469" s="111"/>
      <c r="J469" s="104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</row>
    <row r="470" spans="1:26" ht="12.75" customHeight="1" x14ac:dyDescent="0.3">
      <c r="A470" s="103"/>
      <c r="B470" s="108"/>
      <c r="C470" s="107"/>
      <c r="D470" s="104"/>
      <c r="E470" s="109"/>
      <c r="F470" s="103"/>
      <c r="G470" s="110"/>
      <c r="H470" s="102"/>
      <c r="I470" s="111"/>
      <c r="J470" s="104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</row>
    <row r="471" spans="1:26" ht="12.75" customHeight="1" x14ac:dyDescent="0.3">
      <c r="A471" s="103"/>
      <c r="B471" s="108"/>
      <c r="C471" s="107"/>
      <c r="D471" s="104"/>
      <c r="E471" s="109"/>
      <c r="F471" s="103"/>
      <c r="G471" s="110"/>
      <c r="H471" s="102"/>
      <c r="I471" s="111"/>
      <c r="J471" s="104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</row>
    <row r="472" spans="1:26" ht="12.75" customHeight="1" x14ac:dyDescent="0.3">
      <c r="A472" s="103"/>
      <c r="B472" s="108"/>
      <c r="C472" s="107"/>
      <c r="D472" s="104"/>
      <c r="E472" s="109"/>
      <c r="F472" s="103"/>
      <c r="G472" s="110"/>
      <c r="H472" s="102"/>
      <c r="I472" s="111"/>
      <c r="J472" s="104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</row>
    <row r="473" spans="1:26" ht="12.75" customHeight="1" x14ac:dyDescent="0.3">
      <c r="A473" s="103"/>
      <c r="B473" s="108"/>
      <c r="C473" s="107"/>
      <c r="D473" s="104"/>
      <c r="E473" s="109"/>
      <c r="F473" s="103"/>
      <c r="G473" s="110"/>
      <c r="H473" s="102"/>
      <c r="I473" s="111"/>
      <c r="J473" s="104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</row>
    <row r="474" spans="1:26" ht="12.75" customHeight="1" x14ac:dyDescent="0.3">
      <c r="A474" s="103"/>
      <c r="B474" s="108"/>
      <c r="C474" s="107"/>
      <c r="D474" s="104"/>
      <c r="E474" s="109"/>
      <c r="F474" s="103"/>
      <c r="G474" s="110"/>
      <c r="H474" s="102"/>
      <c r="I474" s="111"/>
      <c r="J474" s="104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</row>
    <row r="475" spans="1:26" ht="12.75" customHeight="1" x14ac:dyDescent="0.3">
      <c r="A475" s="103"/>
      <c r="B475" s="108"/>
      <c r="C475" s="107"/>
      <c r="D475" s="104"/>
      <c r="E475" s="109"/>
      <c r="F475" s="103"/>
      <c r="G475" s="110"/>
      <c r="H475" s="102"/>
      <c r="I475" s="111"/>
      <c r="J475" s="104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</row>
    <row r="476" spans="1:26" ht="12.75" customHeight="1" x14ac:dyDescent="0.3">
      <c r="A476" s="103"/>
      <c r="B476" s="108"/>
      <c r="C476" s="107"/>
      <c r="D476" s="104"/>
      <c r="E476" s="109"/>
      <c r="F476" s="103"/>
      <c r="G476" s="110"/>
      <c r="H476" s="102"/>
      <c r="I476" s="111"/>
      <c r="J476" s="104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</row>
    <row r="477" spans="1:26" ht="12.75" customHeight="1" x14ac:dyDescent="0.3">
      <c r="A477" s="103"/>
      <c r="B477" s="108"/>
      <c r="C477" s="107"/>
      <c r="D477" s="104"/>
      <c r="E477" s="109"/>
      <c r="F477" s="103"/>
      <c r="G477" s="110"/>
      <c r="H477" s="102"/>
      <c r="I477" s="111"/>
      <c r="J477" s="104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</row>
    <row r="478" spans="1:26" ht="12.75" customHeight="1" x14ac:dyDescent="0.3">
      <c r="A478" s="103"/>
      <c r="B478" s="108"/>
      <c r="C478" s="107"/>
      <c r="D478" s="104"/>
      <c r="E478" s="109"/>
      <c r="F478" s="103"/>
      <c r="G478" s="110"/>
      <c r="H478" s="102"/>
      <c r="I478" s="111"/>
      <c r="J478" s="104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</row>
    <row r="479" spans="1:26" ht="12.75" customHeight="1" x14ac:dyDescent="0.3">
      <c r="A479" s="103"/>
      <c r="B479" s="108"/>
      <c r="C479" s="107"/>
      <c r="D479" s="104"/>
      <c r="E479" s="109"/>
      <c r="F479" s="103"/>
      <c r="G479" s="110"/>
      <c r="H479" s="102"/>
      <c r="I479" s="111"/>
      <c r="J479" s="104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</row>
    <row r="480" spans="1:26" ht="12.75" customHeight="1" x14ac:dyDescent="0.3">
      <c r="A480" s="103"/>
      <c r="B480" s="108"/>
      <c r="C480" s="107"/>
      <c r="D480" s="104"/>
      <c r="E480" s="109"/>
      <c r="F480" s="103"/>
      <c r="G480" s="110"/>
      <c r="H480" s="102"/>
      <c r="I480" s="111"/>
      <c r="J480" s="104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</row>
    <row r="481" spans="1:26" ht="12.75" customHeight="1" x14ac:dyDescent="0.3">
      <c r="A481" s="103"/>
      <c r="B481" s="108"/>
      <c r="C481" s="107"/>
      <c r="D481" s="104"/>
      <c r="E481" s="109"/>
      <c r="F481" s="103"/>
      <c r="G481" s="110"/>
      <c r="H481" s="102"/>
      <c r="I481" s="111"/>
      <c r="J481" s="104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</row>
    <row r="482" spans="1:26" ht="12.75" customHeight="1" x14ac:dyDescent="0.3">
      <c r="A482" s="103"/>
      <c r="B482" s="108"/>
      <c r="C482" s="107"/>
      <c r="D482" s="104"/>
      <c r="E482" s="109"/>
      <c r="F482" s="103"/>
      <c r="G482" s="110"/>
      <c r="H482" s="102"/>
      <c r="I482" s="111"/>
      <c r="J482" s="104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</row>
    <row r="483" spans="1:26" ht="12.75" customHeight="1" x14ac:dyDescent="0.3">
      <c r="A483" s="103"/>
      <c r="B483" s="108"/>
      <c r="C483" s="107"/>
      <c r="D483" s="104"/>
      <c r="E483" s="109"/>
      <c r="F483" s="103"/>
      <c r="G483" s="110"/>
      <c r="H483" s="102"/>
      <c r="I483" s="111"/>
      <c r="J483" s="104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</row>
    <row r="484" spans="1:26" ht="12.75" customHeight="1" x14ac:dyDescent="0.3">
      <c r="A484" s="103"/>
      <c r="B484" s="108"/>
      <c r="C484" s="107"/>
      <c r="D484" s="104"/>
      <c r="E484" s="109"/>
      <c r="F484" s="103"/>
      <c r="G484" s="110"/>
      <c r="H484" s="102"/>
      <c r="I484" s="111"/>
      <c r="J484" s="104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</row>
    <row r="485" spans="1:26" ht="12.75" customHeight="1" x14ac:dyDescent="0.3">
      <c r="A485" s="103"/>
      <c r="B485" s="108"/>
      <c r="C485" s="107"/>
      <c r="D485" s="104"/>
      <c r="E485" s="109"/>
      <c r="F485" s="103"/>
      <c r="G485" s="110"/>
      <c r="H485" s="102"/>
      <c r="I485" s="111"/>
      <c r="J485" s="104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</row>
    <row r="486" spans="1:26" ht="12.75" customHeight="1" x14ac:dyDescent="0.3">
      <c r="A486" s="103"/>
      <c r="B486" s="108"/>
      <c r="C486" s="107"/>
      <c r="D486" s="104"/>
      <c r="E486" s="109"/>
      <c r="F486" s="103"/>
      <c r="G486" s="110"/>
      <c r="H486" s="102"/>
      <c r="I486" s="111"/>
      <c r="J486" s="104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</row>
    <row r="487" spans="1:26" ht="12.75" customHeight="1" x14ac:dyDescent="0.3">
      <c r="A487" s="103"/>
      <c r="B487" s="108"/>
      <c r="C487" s="107"/>
      <c r="D487" s="104"/>
      <c r="E487" s="109"/>
      <c r="F487" s="103"/>
      <c r="G487" s="110"/>
      <c r="H487" s="102"/>
      <c r="I487" s="111"/>
      <c r="J487" s="104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</row>
    <row r="488" spans="1:26" ht="12.75" customHeight="1" x14ac:dyDescent="0.3">
      <c r="A488" s="103"/>
      <c r="B488" s="108"/>
      <c r="C488" s="107"/>
      <c r="D488" s="104"/>
      <c r="E488" s="109"/>
      <c r="F488" s="103"/>
      <c r="G488" s="110"/>
      <c r="H488" s="102"/>
      <c r="I488" s="111"/>
      <c r="J488" s="104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</row>
    <row r="489" spans="1:26" ht="12.75" customHeight="1" x14ac:dyDescent="0.3">
      <c r="A489" s="103"/>
      <c r="B489" s="108"/>
      <c r="C489" s="107"/>
      <c r="D489" s="104"/>
      <c r="E489" s="109"/>
      <c r="F489" s="103"/>
      <c r="G489" s="110"/>
      <c r="H489" s="102"/>
      <c r="I489" s="111"/>
      <c r="J489" s="104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</row>
    <row r="490" spans="1:26" ht="12.75" customHeight="1" x14ac:dyDescent="0.3">
      <c r="A490" s="103"/>
      <c r="B490" s="108"/>
      <c r="C490" s="107"/>
      <c r="D490" s="104"/>
      <c r="E490" s="109"/>
      <c r="F490" s="103"/>
      <c r="G490" s="110"/>
      <c r="H490" s="102"/>
      <c r="I490" s="111"/>
      <c r="J490" s="104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</row>
    <row r="491" spans="1:26" ht="12.75" customHeight="1" x14ac:dyDescent="0.3">
      <c r="A491" s="103"/>
      <c r="B491" s="108"/>
      <c r="C491" s="107"/>
      <c r="D491" s="104"/>
      <c r="E491" s="109"/>
      <c r="F491" s="103"/>
      <c r="G491" s="110"/>
      <c r="H491" s="102"/>
      <c r="I491" s="111"/>
      <c r="J491" s="104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</row>
    <row r="492" spans="1:26" ht="12.75" customHeight="1" x14ac:dyDescent="0.3">
      <c r="A492" s="103"/>
      <c r="B492" s="108"/>
      <c r="C492" s="107"/>
      <c r="D492" s="104"/>
      <c r="E492" s="109"/>
      <c r="F492" s="103"/>
      <c r="G492" s="110"/>
      <c r="H492" s="102"/>
      <c r="I492" s="111"/>
      <c r="J492" s="104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</row>
    <row r="493" spans="1:26" ht="12.75" customHeight="1" x14ac:dyDescent="0.3">
      <c r="A493" s="103"/>
      <c r="B493" s="108"/>
      <c r="C493" s="107"/>
      <c r="D493" s="104"/>
      <c r="E493" s="109"/>
      <c r="F493" s="103"/>
      <c r="G493" s="110"/>
      <c r="H493" s="102"/>
      <c r="I493" s="111"/>
      <c r="J493" s="104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</row>
    <row r="494" spans="1:26" ht="12.75" customHeight="1" x14ac:dyDescent="0.3">
      <c r="A494" s="103"/>
      <c r="B494" s="108"/>
      <c r="C494" s="107"/>
      <c r="D494" s="104"/>
      <c r="E494" s="109"/>
      <c r="F494" s="103"/>
      <c r="G494" s="110"/>
      <c r="H494" s="102"/>
      <c r="I494" s="111"/>
      <c r="J494" s="104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</row>
    <row r="495" spans="1:26" ht="12.75" customHeight="1" x14ac:dyDescent="0.3">
      <c r="A495" s="103"/>
      <c r="B495" s="108"/>
      <c r="C495" s="107"/>
      <c r="D495" s="104"/>
      <c r="E495" s="109"/>
      <c r="F495" s="103"/>
      <c r="G495" s="110"/>
      <c r="H495" s="102"/>
      <c r="I495" s="111"/>
      <c r="J495" s="104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</row>
    <row r="496" spans="1:26" ht="12.75" customHeight="1" x14ac:dyDescent="0.3">
      <c r="A496" s="103"/>
      <c r="B496" s="108"/>
      <c r="C496" s="107"/>
      <c r="D496" s="104"/>
      <c r="E496" s="109"/>
      <c r="F496" s="103"/>
      <c r="G496" s="110"/>
      <c r="H496" s="102"/>
      <c r="I496" s="111"/>
      <c r="J496" s="104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</row>
    <row r="497" spans="1:26" ht="12.75" customHeight="1" x14ac:dyDescent="0.3">
      <c r="A497" s="103"/>
      <c r="B497" s="108"/>
      <c r="C497" s="107"/>
      <c r="D497" s="104"/>
      <c r="E497" s="109"/>
      <c r="F497" s="103"/>
      <c r="G497" s="110"/>
      <c r="H497" s="102"/>
      <c r="I497" s="111"/>
      <c r="J497" s="104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</row>
    <row r="498" spans="1:26" ht="12.75" customHeight="1" x14ac:dyDescent="0.3">
      <c r="A498" s="103"/>
      <c r="B498" s="108"/>
      <c r="C498" s="107"/>
      <c r="D498" s="104"/>
      <c r="E498" s="109"/>
      <c r="F498" s="103"/>
      <c r="G498" s="110"/>
      <c r="H498" s="102"/>
      <c r="I498" s="111"/>
      <c r="J498" s="104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</row>
    <row r="499" spans="1:26" ht="12.75" customHeight="1" x14ac:dyDescent="0.3">
      <c r="A499" s="103"/>
      <c r="B499" s="108"/>
      <c r="C499" s="107"/>
      <c r="D499" s="104"/>
      <c r="E499" s="109"/>
      <c r="F499" s="103"/>
      <c r="G499" s="110"/>
      <c r="H499" s="102"/>
      <c r="I499" s="111"/>
      <c r="J499" s="104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</row>
    <row r="500" spans="1:26" ht="12.75" customHeight="1" x14ac:dyDescent="0.3">
      <c r="A500" s="103"/>
      <c r="B500" s="108"/>
      <c r="C500" s="107"/>
      <c r="D500" s="104"/>
      <c r="E500" s="109"/>
      <c r="F500" s="103"/>
      <c r="G500" s="110"/>
      <c r="H500" s="102"/>
      <c r="I500" s="111"/>
      <c r="J500" s="104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</row>
    <row r="501" spans="1:26" ht="12.75" customHeight="1" x14ac:dyDescent="0.3">
      <c r="A501" s="103"/>
      <c r="B501" s="108"/>
      <c r="C501" s="107"/>
      <c r="D501" s="104"/>
      <c r="E501" s="109"/>
      <c r="F501" s="103"/>
      <c r="G501" s="110"/>
      <c r="H501" s="102"/>
      <c r="I501" s="111"/>
      <c r="J501" s="104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</row>
    <row r="502" spans="1:26" ht="12.75" customHeight="1" x14ac:dyDescent="0.3">
      <c r="A502" s="103"/>
      <c r="B502" s="108"/>
      <c r="C502" s="107"/>
      <c r="D502" s="104"/>
      <c r="E502" s="109"/>
      <c r="F502" s="103"/>
      <c r="G502" s="110"/>
      <c r="H502" s="102"/>
      <c r="I502" s="111"/>
      <c r="J502" s="104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</row>
    <row r="503" spans="1:26" ht="12.75" customHeight="1" x14ac:dyDescent="0.3">
      <c r="A503" s="103"/>
      <c r="B503" s="108"/>
      <c r="C503" s="107"/>
      <c r="D503" s="104"/>
      <c r="E503" s="109"/>
      <c r="F503" s="103"/>
      <c r="G503" s="110"/>
      <c r="H503" s="102"/>
      <c r="I503" s="111"/>
      <c r="J503" s="104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</row>
    <row r="504" spans="1:26" ht="12.75" customHeight="1" x14ac:dyDescent="0.3">
      <c r="A504" s="103"/>
      <c r="B504" s="108"/>
      <c r="C504" s="107"/>
      <c r="D504" s="104"/>
      <c r="E504" s="109"/>
      <c r="F504" s="103"/>
      <c r="G504" s="110"/>
      <c r="H504" s="102"/>
      <c r="I504" s="111"/>
      <c r="J504" s="104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</row>
    <row r="505" spans="1:26" ht="12.75" customHeight="1" x14ac:dyDescent="0.3">
      <c r="A505" s="103"/>
      <c r="B505" s="108"/>
      <c r="C505" s="107"/>
      <c r="D505" s="104"/>
      <c r="E505" s="109"/>
      <c r="F505" s="103"/>
      <c r="G505" s="110"/>
      <c r="H505" s="102"/>
      <c r="I505" s="111"/>
      <c r="J505" s="104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</row>
    <row r="506" spans="1:26" ht="12.75" customHeight="1" x14ac:dyDescent="0.3">
      <c r="A506" s="103"/>
      <c r="B506" s="108"/>
      <c r="C506" s="107"/>
      <c r="D506" s="104"/>
      <c r="E506" s="109"/>
      <c r="F506" s="103"/>
      <c r="G506" s="110"/>
      <c r="H506" s="102"/>
      <c r="I506" s="111"/>
      <c r="J506" s="104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</row>
    <row r="507" spans="1:26" ht="12.75" customHeight="1" x14ac:dyDescent="0.3">
      <c r="A507" s="103"/>
      <c r="B507" s="108"/>
      <c r="C507" s="107"/>
      <c r="D507" s="104"/>
      <c r="E507" s="109"/>
      <c r="F507" s="103"/>
      <c r="G507" s="110"/>
      <c r="H507" s="102"/>
      <c r="I507" s="111"/>
      <c r="J507" s="104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</row>
    <row r="508" spans="1:26" ht="12.75" customHeight="1" x14ac:dyDescent="0.3">
      <c r="A508" s="103"/>
      <c r="B508" s="108"/>
      <c r="C508" s="107"/>
      <c r="D508" s="104"/>
      <c r="E508" s="109"/>
      <c r="F508" s="103"/>
      <c r="G508" s="110"/>
      <c r="H508" s="102"/>
      <c r="I508" s="111"/>
      <c r="J508" s="104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</row>
    <row r="509" spans="1:26" ht="12.75" customHeight="1" x14ac:dyDescent="0.3">
      <c r="A509" s="103"/>
      <c r="B509" s="108"/>
      <c r="C509" s="107"/>
      <c r="D509" s="104"/>
      <c r="E509" s="109"/>
      <c r="F509" s="103"/>
      <c r="G509" s="110"/>
      <c r="H509" s="102"/>
      <c r="I509" s="111"/>
      <c r="J509" s="104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</row>
    <row r="510" spans="1:26" ht="12.75" customHeight="1" x14ac:dyDescent="0.3">
      <c r="A510" s="103"/>
      <c r="B510" s="108"/>
      <c r="C510" s="107"/>
      <c r="D510" s="104"/>
      <c r="E510" s="109"/>
      <c r="F510" s="103"/>
      <c r="G510" s="110"/>
      <c r="H510" s="102"/>
      <c r="I510" s="111"/>
      <c r="J510" s="104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</row>
    <row r="511" spans="1:26" ht="12.75" customHeight="1" x14ac:dyDescent="0.3">
      <c r="A511" s="103"/>
      <c r="B511" s="108"/>
      <c r="C511" s="107"/>
      <c r="D511" s="104"/>
      <c r="E511" s="109"/>
      <c r="F511" s="103"/>
      <c r="G511" s="110"/>
      <c r="H511" s="102"/>
      <c r="I511" s="111"/>
      <c r="J511" s="104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</row>
    <row r="512" spans="1:26" ht="12.75" customHeight="1" x14ac:dyDescent="0.3">
      <c r="A512" s="103"/>
      <c r="B512" s="108"/>
      <c r="C512" s="107"/>
      <c r="D512" s="104"/>
      <c r="E512" s="109"/>
      <c r="F512" s="103"/>
      <c r="G512" s="110"/>
      <c r="H512" s="102"/>
      <c r="I512" s="111"/>
      <c r="J512" s="104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</row>
    <row r="513" spans="1:26" ht="12.75" customHeight="1" x14ac:dyDescent="0.3">
      <c r="A513" s="103"/>
      <c r="B513" s="108"/>
      <c r="C513" s="107"/>
      <c r="D513" s="104"/>
      <c r="E513" s="109"/>
      <c r="F513" s="103"/>
      <c r="G513" s="110"/>
      <c r="H513" s="102"/>
      <c r="I513" s="111"/>
      <c r="J513" s="104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</row>
    <row r="514" spans="1:26" ht="12.75" customHeight="1" x14ac:dyDescent="0.3">
      <c r="A514" s="103"/>
      <c r="B514" s="108"/>
      <c r="C514" s="107"/>
      <c r="D514" s="104"/>
      <c r="E514" s="109"/>
      <c r="F514" s="103"/>
      <c r="G514" s="110"/>
      <c r="H514" s="102"/>
      <c r="I514" s="111"/>
      <c r="J514" s="104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</row>
    <row r="515" spans="1:26" ht="12.75" customHeight="1" x14ac:dyDescent="0.3">
      <c r="A515" s="103"/>
      <c r="B515" s="108"/>
      <c r="C515" s="107"/>
      <c r="D515" s="104"/>
      <c r="E515" s="109"/>
      <c r="F515" s="103"/>
      <c r="G515" s="110"/>
      <c r="H515" s="102"/>
      <c r="I515" s="111"/>
      <c r="J515" s="104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</row>
    <row r="516" spans="1:26" ht="12.75" customHeight="1" x14ac:dyDescent="0.3">
      <c r="A516" s="103"/>
      <c r="B516" s="108"/>
      <c r="C516" s="107"/>
      <c r="D516" s="104"/>
      <c r="E516" s="109"/>
      <c r="F516" s="103"/>
      <c r="G516" s="110"/>
      <c r="H516" s="102"/>
      <c r="I516" s="111"/>
      <c r="J516" s="104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</row>
    <row r="517" spans="1:26" ht="12.75" customHeight="1" x14ac:dyDescent="0.3">
      <c r="A517" s="103"/>
      <c r="B517" s="108"/>
      <c r="C517" s="107"/>
      <c r="D517" s="104"/>
      <c r="E517" s="109"/>
      <c r="F517" s="103"/>
      <c r="G517" s="110"/>
      <c r="H517" s="102"/>
      <c r="I517" s="111"/>
      <c r="J517" s="104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</row>
    <row r="518" spans="1:26" ht="12.75" customHeight="1" x14ac:dyDescent="0.3">
      <c r="A518" s="103"/>
      <c r="B518" s="108"/>
      <c r="C518" s="107"/>
      <c r="D518" s="104"/>
      <c r="E518" s="109"/>
      <c r="F518" s="103"/>
      <c r="G518" s="110"/>
      <c r="H518" s="102"/>
      <c r="I518" s="111"/>
      <c r="J518" s="104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</row>
    <row r="519" spans="1:26" ht="12.75" customHeight="1" x14ac:dyDescent="0.3">
      <c r="A519" s="103"/>
      <c r="B519" s="108"/>
      <c r="C519" s="107"/>
      <c r="D519" s="104"/>
      <c r="E519" s="109"/>
      <c r="F519" s="103"/>
      <c r="G519" s="110"/>
      <c r="H519" s="102"/>
      <c r="I519" s="111"/>
      <c r="J519" s="104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</row>
    <row r="520" spans="1:26" ht="12.75" customHeight="1" x14ac:dyDescent="0.3">
      <c r="A520" s="103"/>
      <c r="B520" s="108"/>
      <c r="C520" s="107"/>
      <c r="D520" s="104"/>
      <c r="E520" s="109"/>
      <c r="F520" s="103"/>
      <c r="G520" s="110"/>
      <c r="H520" s="102"/>
      <c r="I520" s="111"/>
      <c r="J520" s="104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</row>
    <row r="521" spans="1:26" ht="12.75" customHeight="1" x14ac:dyDescent="0.3">
      <c r="A521" s="103"/>
      <c r="B521" s="108"/>
      <c r="C521" s="107"/>
      <c r="D521" s="104"/>
      <c r="E521" s="109"/>
      <c r="F521" s="103"/>
      <c r="G521" s="110"/>
      <c r="H521" s="102"/>
      <c r="I521" s="111"/>
      <c r="J521" s="104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</row>
    <row r="522" spans="1:26" ht="12.75" customHeight="1" x14ac:dyDescent="0.3">
      <c r="A522" s="103"/>
      <c r="B522" s="108"/>
      <c r="C522" s="107"/>
      <c r="D522" s="104"/>
      <c r="E522" s="109"/>
      <c r="F522" s="103"/>
      <c r="G522" s="110"/>
      <c r="H522" s="102"/>
      <c r="I522" s="111"/>
      <c r="J522" s="104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</row>
    <row r="523" spans="1:26" ht="12.75" customHeight="1" x14ac:dyDescent="0.3">
      <c r="A523" s="103"/>
      <c r="B523" s="108"/>
      <c r="C523" s="107"/>
      <c r="D523" s="104"/>
      <c r="E523" s="109"/>
      <c r="F523" s="103"/>
      <c r="G523" s="110"/>
      <c r="H523" s="102"/>
      <c r="I523" s="111"/>
      <c r="J523" s="104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</row>
    <row r="524" spans="1:26" ht="12.75" customHeight="1" x14ac:dyDescent="0.3">
      <c r="A524" s="103"/>
      <c r="B524" s="108"/>
      <c r="C524" s="107"/>
      <c r="D524" s="104"/>
      <c r="E524" s="109"/>
      <c r="F524" s="103"/>
      <c r="G524" s="110"/>
      <c r="H524" s="102"/>
      <c r="I524" s="111"/>
      <c r="J524" s="104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</row>
    <row r="525" spans="1:26" ht="12.75" customHeight="1" x14ac:dyDescent="0.3">
      <c r="A525" s="103"/>
      <c r="B525" s="108"/>
      <c r="C525" s="107"/>
      <c r="D525" s="104"/>
      <c r="E525" s="109"/>
      <c r="F525" s="103"/>
      <c r="G525" s="110"/>
      <c r="H525" s="102"/>
      <c r="I525" s="111"/>
      <c r="J525" s="104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</row>
    <row r="526" spans="1:26" ht="12.75" customHeight="1" x14ac:dyDescent="0.3">
      <c r="A526" s="103"/>
      <c r="B526" s="108"/>
      <c r="C526" s="107"/>
      <c r="D526" s="104"/>
      <c r="E526" s="109"/>
      <c r="F526" s="103"/>
      <c r="G526" s="110"/>
      <c r="H526" s="102"/>
      <c r="I526" s="111"/>
      <c r="J526" s="104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</row>
    <row r="527" spans="1:26" ht="12.75" customHeight="1" x14ac:dyDescent="0.3">
      <c r="A527" s="103"/>
      <c r="B527" s="108"/>
      <c r="C527" s="107"/>
      <c r="D527" s="104"/>
      <c r="E527" s="109"/>
      <c r="F527" s="103"/>
      <c r="G527" s="110"/>
      <c r="H527" s="102"/>
      <c r="I527" s="111"/>
      <c r="J527" s="104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</row>
    <row r="528" spans="1:26" ht="12.75" customHeight="1" x14ac:dyDescent="0.3">
      <c r="A528" s="103"/>
      <c r="B528" s="108"/>
      <c r="C528" s="107"/>
      <c r="D528" s="104"/>
      <c r="E528" s="109"/>
      <c r="F528" s="103"/>
      <c r="G528" s="110"/>
      <c r="H528" s="102"/>
      <c r="I528" s="111"/>
      <c r="J528" s="104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</row>
    <row r="529" spans="1:26" ht="12.75" customHeight="1" x14ac:dyDescent="0.3">
      <c r="A529" s="103"/>
      <c r="B529" s="108"/>
      <c r="C529" s="107"/>
      <c r="D529" s="104"/>
      <c r="E529" s="109"/>
      <c r="F529" s="103"/>
      <c r="G529" s="110"/>
      <c r="H529" s="102"/>
      <c r="I529" s="111"/>
      <c r="J529" s="104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</row>
    <row r="530" spans="1:26" ht="12.75" customHeight="1" x14ac:dyDescent="0.3">
      <c r="A530" s="103"/>
      <c r="B530" s="108"/>
      <c r="C530" s="107"/>
      <c r="D530" s="104"/>
      <c r="E530" s="109"/>
      <c r="F530" s="103"/>
      <c r="G530" s="110"/>
      <c r="H530" s="102"/>
      <c r="I530" s="111"/>
      <c r="J530" s="104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</row>
    <row r="531" spans="1:26" ht="12.75" customHeight="1" x14ac:dyDescent="0.3">
      <c r="A531" s="103"/>
      <c r="B531" s="108"/>
      <c r="C531" s="107"/>
      <c r="D531" s="104"/>
      <c r="E531" s="109"/>
      <c r="F531" s="103"/>
      <c r="G531" s="110"/>
      <c r="H531" s="102"/>
      <c r="I531" s="111"/>
      <c r="J531" s="104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</row>
    <row r="532" spans="1:26" ht="12.75" customHeight="1" x14ac:dyDescent="0.3">
      <c r="A532" s="103"/>
      <c r="B532" s="108"/>
      <c r="C532" s="107"/>
      <c r="D532" s="104"/>
      <c r="E532" s="109"/>
      <c r="F532" s="103"/>
      <c r="G532" s="110"/>
      <c r="H532" s="102"/>
      <c r="I532" s="111"/>
      <c r="J532" s="104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</row>
    <row r="533" spans="1:26" ht="12.75" customHeight="1" x14ac:dyDescent="0.3">
      <c r="A533" s="103"/>
      <c r="B533" s="108"/>
      <c r="C533" s="107"/>
      <c r="D533" s="104"/>
      <c r="E533" s="109"/>
      <c r="F533" s="103"/>
      <c r="G533" s="110"/>
      <c r="H533" s="102"/>
      <c r="I533" s="111"/>
      <c r="J533" s="104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</row>
    <row r="534" spans="1:26" ht="12.75" customHeight="1" x14ac:dyDescent="0.3">
      <c r="A534" s="103"/>
      <c r="B534" s="108"/>
      <c r="C534" s="107"/>
      <c r="D534" s="104"/>
      <c r="E534" s="109"/>
      <c r="F534" s="103"/>
      <c r="G534" s="110"/>
      <c r="H534" s="102"/>
      <c r="I534" s="111"/>
      <c r="J534" s="104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</row>
    <row r="535" spans="1:26" ht="12.75" customHeight="1" x14ac:dyDescent="0.3">
      <c r="A535" s="103"/>
      <c r="B535" s="108"/>
      <c r="C535" s="107"/>
      <c r="D535" s="104"/>
      <c r="E535" s="109"/>
      <c r="F535" s="103"/>
      <c r="G535" s="110"/>
      <c r="H535" s="102"/>
      <c r="I535" s="111"/>
      <c r="J535" s="104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</row>
    <row r="536" spans="1:26" ht="12.75" customHeight="1" x14ac:dyDescent="0.3">
      <c r="A536" s="103"/>
      <c r="B536" s="108"/>
      <c r="C536" s="107"/>
      <c r="D536" s="104"/>
      <c r="E536" s="109"/>
      <c r="F536" s="103"/>
      <c r="G536" s="110"/>
      <c r="H536" s="102"/>
      <c r="I536" s="111"/>
      <c r="J536" s="104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</row>
    <row r="537" spans="1:26" ht="12.75" customHeight="1" x14ac:dyDescent="0.3">
      <c r="A537" s="103"/>
      <c r="B537" s="108"/>
      <c r="C537" s="107"/>
      <c r="D537" s="104"/>
      <c r="E537" s="109"/>
      <c r="F537" s="103"/>
      <c r="G537" s="110"/>
      <c r="H537" s="102"/>
      <c r="I537" s="111"/>
      <c r="J537" s="104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</row>
    <row r="538" spans="1:26" ht="12.75" customHeight="1" x14ac:dyDescent="0.3">
      <c r="A538" s="103"/>
      <c r="B538" s="108"/>
      <c r="C538" s="107"/>
      <c r="D538" s="104"/>
      <c r="E538" s="109"/>
      <c r="F538" s="103"/>
      <c r="G538" s="110"/>
      <c r="H538" s="102"/>
      <c r="I538" s="111"/>
      <c r="J538" s="104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</row>
    <row r="539" spans="1:26" ht="12.75" customHeight="1" x14ac:dyDescent="0.3">
      <c r="A539" s="103"/>
      <c r="B539" s="108"/>
      <c r="C539" s="107"/>
      <c r="D539" s="104"/>
      <c r="E539" s="109"/>
      <c r="F539" s="103"/>
      <c r="G539" s="110"/>
      <c r="H539" s="102"/>
      <c r="I539" s="111"/>
      <c r="J539" s="104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</row>
    <row r="540" spans="1:26" ht="12.75" customHeight="1" x14ac:dyDescent="0.3">
      <c r="A540" s="103"/>
      <c r="B540" s="108"/>
      <c r="C540" s="107"/>
      <c r="D540" s="104"/>
      <c r="E540" s="109"/>
      <c r="F540" s="103"/>
      <c r="G540" s="110"/>
      <c r="H540" s="102"/>
      <c r="I540" s="111"/>
      <c r="J540" s="104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</row>
    <row r="541" spans="1:26" ht="12.75" customHeight="1" x14ac:dyDescent="0.3">
      <c r="A541" s="103"/>
      <c r="B541" s="108"/>
      <c r="C541" s="107"/>
      <c r="D541" s="104"/>
      <c r="E541" s="109"/>
      <c r="F541" s="103"/>
      <c r="G541" s="110"/>
      <c r="H541" s="102"/>
      <c r="I541" s="111"/>
      <c r="J541" s="104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</row>
    <row r="542" spans="1:26" ht="12.75" customHeight="1" x14ac:dyDescent="0.3">
      <c r="A542" s="103"/>
      <c r="B542" s="108"/>
      <c r="C542" s="107"/>
      <c r="D542" s="104"/>
      <c r="E542" s="109"/>
      <c r="F542" s="103"/>
      <c r="G542" s="110"/>
      <c r="H542" s="102"/>
      <c r="I542" s="111"/>
      <c r="J542" s="104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</row>
    <row r="543" spans="1:26" ht="12.75" customHeight="1" x14ac:dyDescent="0.3">
      <c r="A543" s="103"/>
      <c r="B543" s="108"/>
      <c r="C543" s="107"/>
      <c r="D543" s="104"/>
      <c r="E543" s="109"/>
      <c r="F543" s="103"/>
      <c r="G543" s="110"/>
      <c r="H543" s="102"/>
      <c r="I543" s="111"/>
      <c r="J543" s="104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</row>
    <row r="544" spans="1:26" ht="12.75" customHeight="1" x14ac:dyDescent="0.3">
      <c r="A544" s="103"/>
      <c r="B544" s="108"/>
      <c r="C544" s="107"/>
      <c r="D544" s="104"/>
      <c r="E544" s="109"/>
      <c r="F544" s="103"/>
      <c r="G544" s="110"/>
      <c r="H544" s="102"/>
      <c r="I544" s="111"/>
      <c r="J544" s="104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</row>
    <row r="545" spans="1:26" ht="12.75" customHeight="1" x14ac:dyDescent="0.3">
      <c r="A545" s="103"/>
      <c r="B545" s="108"/>
      <c r="C545" s="107"/>
      <c r="D545" s="104"/>
      <c r="E545" s="109"/>
      <c r="F545" s="103"/>
      <c r="G545" s="110"/>
      <c r="H545" s="102"/>
      <c r="I545" s="111"/>
      <c r="J545" s="104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</row>
    <row r="546" spans="1:26" ht="12.75" customHeight="1" x14ac:dyDescent="0.3">
      <c r="A546" s="103"/>
      <c r="B546" s="108"/>
      <c r="C546" s="107"/>
      <c r="D546" s="104"/>
      <c r="E546" s="109"/>
      <c r="F546" s="103"/>
      <c r="G546" s="110"/>
      <c r="H546" s="102"/>
      <c r="I546" s="111"/>
      <c r="J546" s="104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</row>
    <row r="547" spans="1:26" ht="12.75" customHeight="1" x14ac:dyDescent="0.3">
      <c r="A547" s="103"/>
      <c r="B547" s="108"/>
      <c r="C547" s="107"/>
      <c r="D547" s="104"/>
      <c r="E547" s="109"/>
      <c r="F547" s="103"/>
      <c r="G547" s="110"/>
      <c r="H547" s="102"/>
      <c r="I547" s="111"/>
      <c r="J547" s="104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</row>
    <row r="548" spans="1:26" ht="12.75" customHeight="1" x14ac:dyDescent="0.3">
      <c r="A548" s="103"/>
      <c r="B548" s="108"/>
      <c r="C548" s="107"/>
      <c r="D548" s="104"/>
      <c r="E548" s="109"/>
      <c r="F548" s="103"/>
      <c r="G548" s="110"/>
      <c r="H548" s="102"/>
      <c r="I548" s="111"/>
      <c r="J548" s="104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</row>
    <row r="549" spans="1:26" ht="12.75" customHeight="1" x14ac:dyDescent="0.3">
      <c r="A549" s="103"/>
      <c r="B549" s="108"/>
      <c r="C549" s="107"/>
      <c r="D549" s="104"/>
      <c r="E549" s="109"/>
      <c r="F549" s="103"/>
      <c r="G549" s="110"/>
      <c r="H549" s="102"/>
      <c r="I549" s="111"/>
      <c r="J549" s="104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</row>
    <row r="550" spans="1:26" ht="12.75" customHeight="1" x14ac:dyDescent="0.3">
      <c r="A550" s="103"/>
      <c r="B550" s="108"/>
      <c r="C550" s="107"/>
      <c r="D550" s="104"/>
      <c r="E550" s="109"/>
      <c r="F550" s="103"/>
      <c r="G550" s="110"/>
      <c r="H550" s="102"/>
      <c r="I550" s="111"/>
      <c r="J550" s="104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</row>
    <row r="551" spans="1:26" ht="12.75" customHeight="1" x14ac:dyDescent="0.3">
      <c r="A551" s="103"/>
      <c r="B551" s="108"/>
      <c r="C551" s="107"/>
      <c r="D551" s="104"/>
      <c r="E551" s="109"/>
      <c r="F551" s="103"/>
      <c r="G551" s="110"/>
      <c r="H551" s="102"/>
      <c r="I551" s="111"/>
      <c r="J551" s="104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</row>
    <row r="552" spans="1:26" ht="12.75" customHeight="1" x14ac:dyDescent="0.3">
      <c r="A552" s="103"/>
      <c r="B552" s="108"/>
      <c r="C552" s="107"/>
      <c r="D552" s="104"/>
      <c r="E552" s="109"/>
      <c r="F552" s="103"/>
      <c r="G552" s="110"/>
      <c r="H552" s="102"/>
      <c r="I552" s="111"/>
      <c r="J552" s="104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</row>
    <row r="553" spans="1:26" ht="12.75" customHeight="1" x14ac:dyDescent="0.3">
      <c r="A553" s="103"/>
      <c r="B553" s="108"/>
      <c r="C553" s="107"/>
      <c r="D553" s="104"/>
      <c r="E553" s="109"/>
      <c r="F553" s="103"/>
      <c r="G553" s="110"/>
      <c r="H553" s="102"/>
      <c r="I553" s="111"/>
      <c r="J553" s="104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</row>
    <row r="554" spans="1:26" ht="12.75" customHeight="1" x14ac:dyDescent="0.3">
      <c r="A554" s="103"/>
      <c r="B554" s="108"/>
      <c r="C554" s="107"/>
      <c r="D554" s="104"/>
      <c r="E554" s="109"/>
      <c r="F554" s="103"/>
      <c r="G554" s="110"/>
      <c r="H554" s="102"/>
      <c r="I554" s="111"/>
      <c r="J554" s="104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</row>
    <row r="555" spans="1:26" ht="12.75" customHeight="1" x14ac:dyDescent="0.3">
      <c r="A555" s="103"/>
      <c r="B555" s="108"/>
      <c r="C555" s="107"/>
      <c r="D555" s="104"/>
      <c r="E555" s="109"/>
      <c r="F555" s="103"/>
      <c r="G555" s="110"/>
      <c r="H555" s="102"/>
      <c r="I555" s="111"/>
      <c r="J555" s="104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</row>
    <row r="556" spans="1:26" ht="12.75" customHeight="1" x14ac:dyDescent="0.3">
      <c r="A556" s="103"/>
      <c r="B556" s="108"/>
      <c r="C556" s="107"/>
      <c r="D556" s="104"/>
      <c r="E556" s="109"/>
      <c r="F556" s="103"/>
      <c r="G556" s="110"/>
      <c r="H556" s="102"/>
      <c r="I556" s="111"/>
      <c r="J556" s="104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</row>
    <row r="557" spans="1:26" ht="12.75" customHeight="1" x14ac:dyDescent="0.3">
      <c r="A557" s="103"/>
      <c r="B557" s="108"/>
      <c r="C557" s="107"/>
      <c r="D557" s="104"/>
      <c r="E557" s="109"/>
      <c r="F557" s="103"/>
      <c r="G557" s="110"/>
      <c r="H557" s="102"/>
      <c r="I557" s="111"/>
      <c r="J557" s="104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</row>
    <row r="558" spans="1:26" ht="12.75" customHeight="1" x14ac:dyDescent="0.3">
      <c r="A558" s="103"/>
      <c r="B558" s="108"/>
      <c r="C558" s="107"/>
      <c r="D558" s="104"/>
      <c r="E558" s="109"/>
      <c r="F558" s="103"/>
      <c r="G558" s="110"/>
      <c r="H558" s="102"/>
      <c r="I558" s="111"/>
      <c r="J558" s="104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</row>
    <row r="559" spans="1:26" ht="12.75" customHeight="1" x14ac:dyDescent="0.3">
      <c r="A559" s="103"/>
      <c r="B559" s="108"/>
      <c r="C559" s="107"/>
      <c r="D559" s="104"/>
      <c r="E559" s="109"/>
      <c r="F559" s="103"/>
      <c r="G559" s="110"/>
      <c r="H559" s="102"/>
      <c r="I559" s="111"/>
      <c r="J559" s="104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</row>
    <row r="560" spans="1:26" ht="12.75" customHeight="1" x14ac:dyDescent="0.3">
      <c r="A560" s="103"/>
      <c r="B560" s="108"/>
      <c r="C560" s="107"/>
      <c r="D560" s="104"/>
      <c r="E560" s="109"/>
      <c r="F560" s="103"/>
      <c r="G560" s="110"/>
      <c r="H560" s="102"/>
      <c r="I560" s="111"/>
      <c r="J560" s="104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</row>
    <row r="561" spans="1:26" ht="12.75" customHeight="1" x14ac:dyDescent="0.3">
      <c r="A561" s="103"/>
      <c r="B561" s="108"/>
      <c r="C561" s="107"/>
      <c r="D561" s="104"/>
      <c r="E561" s="109"/>
      <c r="F561" s="103"/>
      <c r="G561" s="110"/>
      <c r="H561" s="102"/>
      <c r="I561" s="111"/>
      <c r="J561" s="104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</row>
    <row r="562" spans="1:26" ht="12.75" customHeight="1" x14ac:dyDescent="0.3">
      <c r="A562" s="103"/>
      <c r="B562" s="108"/>
      <c r="C562" s="107"/>
      <c r="D562" s="104"/>
      <c r="E562" s="109"/>
      <c r="F562" s="103"/>
      <c r="G562" s="110"/>
      <c r="H562" s="102"/>
      <c r="I562" s="111"/>
      <c r="J562" s="104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</row>
    <row r="563" spans="1:26" ht="12.75" customHeight="1" x14ac:dyDescent="0.3">
      <c r="A563" s="103"/>
      <c r="B563" s="108"/>
      <c r="C563" s="107"/>
      <c r="D563" s="104"/>
      <c r="E563" s="109"/>
      <c r="F563" s="103"/>
      <c r="G563" s="110"/>
      <c r="H563" s="102"/>
      <c r="I563" s="111"/>
      <c r="J563" s="104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</row>
    <row r="564" spans="1:26" ht="12.75" customHeight="1" x14ac:dyDescent="0.3">
      <c r="A564" s="103"/>
      <c r="B564" s="108"/>
      <c r="C564" s="107"/>
      <c r="D564" s="104"/>
      <c r="E564" s="109"/>
      <c r="F564" s="103"/>
      <c r="G564" s="110"/>
      <c r="H564" s="102"/>
      <c r="I564" s="111"/>
      <c r="J564" s="104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</row>
    <row r="565" spans="1:26" ht="12.75" customHeight="1" x14ac:dyDescent="0.3">
      <c r="A565" s="103"/>
      <c r="B565" s="108"/>
      <c r="C565" s="107"/>
      <c r="D565" s="104"/>
      <c r="E565" s="109"/>
      <c r="F565" s="103"/>
      <c r="G565" s="110"/>
      <c r="H565" s="102"/>
      <c r="I565" s="111"/>
      <c r="J565" s="104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</row>
    <row r="566" spans="1:26" ht="12.75" customHeight="1" x14ac:dyDescent="0.3">
      <c r="A566" s="103"/>
      <c r="B566" s="108"/>
      <c r="C566" s="107"/>
      <c r="D566" s="104"/>
      <c r="E566" s="109"/>
      <c r="F566" s="103"/>
      <c r="G566" s="110"/>
      <c r="H566" s="102"/>
      <c r="I566" s="111"/>
      <c r="J566" s="104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</row>
    <row r="567" spans="1:26" ht="12.75" customHeight="1" x14ac:dyDescent="0.3">
      <c r="A567" s="103"/>
      <c r="B567" s="108"/>
      <c r="C567" s="107"/>
      <c r="D567" s="104"/>
      <c r="E567" s="109"/>
      <c r="F567" s="103"/>
      <c r="G567" s="110"/>
      <c r="H567" s="102"/>
      <c r="I567" s="111"/>
      <c r="J567" s="104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</row>
    <row r="568" spans="1:26" ht="12.75" customHeight="1" x14ac:dyDescent="0.3">
      <c r="A568" s="103"/>
      <c r="B568" s="108"/>
      <c r="C568" s="107"/>
      <c r="D568" s="104"/>
      <c r="E568" s="109"/>
      <c r="F568" s="103"/>
      <c r="G568" s="110"/>
      <c r="H568" s="102"/>
      <c r="I568" s="111"/>
      <c r="J568" s="104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</row>
    <row r="569" spans="1:26" ht="12.75" customHeight="1" x14ac:dyDescent="0.3">
      <c r="A569" s="103"/>
      <c r="B569" s="108"/>
      <c r="C569" s="107"/>
      <c r="D569" s="104"/>
      <c r="E569" s="109"/>
      <c r="F569" s="103"/>
      <c r="G569" s="110"/>
      <c r="H569" s="102"/>
      <c r="I569" s="111"/>
      <c r="J569" s="104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</row>
    <row r="570" spans="1:26" ht="12.75" customHeight="1" x14ac:dyDescent="0.3">
      <c r="A570" s="103"/>
      <c r="B570" s="108"/>
      <c r="C570" s="107"/>
      <c r="D570" s="104"/>
      <c r="E570" s="109"/>
      <c r="F570" s="103"/>
      <c r="G570" s="110"/>
      <c r="H570" s="102"/>
      <c r="I570" s="111"/>
      <c r="J570" s="104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</row>
    <row r="571" spans="1:26" ht="12.75" customHeight="1" x14ac:dyDescent="0.3">
      <c r="A571" s="103"/>
      <c r="B571" s="108"/>
      <c r="C571" s="107"/>
      <c r="D571" s="104"/>
      <c r="E571" s="109"/>
      <c r="F571" s="103"/>
      <c r="G571" s="110"/>
      <c r="H571" s="102"/>
      <c r="I571" s="111"/>
      <c r="J571" s="104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</row>
    <row r="572" spans="1:26" ht="12.75" customHeight="1" x14ac:dyDescent="0.3">
      <c r="A572" s="103"/>
      <c r="B572" s="108"/>
      <c r="C572" s="107"/>
      <c r="D572" s="104"/>
      <c r="E572" s="109"/>
      <c r="F572" s="103"/>
      <c r="G572" s="110"/>
      <c r="H572" s="102"/>
      <c r="I572" s="111"/>
      <c r="J572" s="104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</row>
    <row r="573" spans="1:26" ht="12.75" customHeight="1" x14ac:dyDescent="0.3">
      <c r="A573" s="103"/>
      <c r="B573" s="108"/>
      <c r="C573" s="107"/>
      <c r="D573" s="104"/>
      <c r="E573" s="109"/>
      <c r="F573" s="103"/>
      <c r="G573" s="110"/>
      <c r="H573" s="102"/>
      <c r="I573" s="111"/>
      <c r="J573" s="104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</row>
    <row r="574" spans="1:26" ht="12.75" customHeight="1" x14ac:dyDescent="0.3">
      <c r="A574" s="103"/>
      <c r="B574" s="108"/>
      <c r="C574" s="107"/>
      <c r="D574" s="104"/>
      <c r="E574" s="109"/>
      <c r="F574" s="103"/>
      <c r="G574" s="110"/>
      <c r="H574" s="102"/>
      <c r="I574" s="111"/>
      <c r="J574" s="104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</row>
    <row r="575" spans="1:26" ht="12.75" customHeight="1" x14ac:dyDescent="0.3">
      <c r="A575" s="103"/>
      <c r="B575" s="108"/>
      <c r="C575" s="107"/>
      <c r="D575" s="104"/>
      <c r="E575" s="109"/>
      <c r="F575" s="103"/>
      <c r="G575" s="110"/>
      <c r="H575" s="102"/>
      <c r="I575" s="111"/>
      <c r="J575" s="104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</row>
    <row r="576" spans="1:26" ht="12.75" customHeight="1" x14ac:dyDescent="0.3">
      <c r="A576" s="103"/>
      <c r="B576" s="108"/>
      <c r="C576" s="107"/>
      <c r="D576" s="104"/>
      <c r="E576" s="109"/>
      <c r="F576" s="103"/>
      <c r="G576" s="110"/>
      <c r="H576" s="102"/>
      <c r="I576" s="111"/>
      <c r="J576" s="104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</row>
    <row r="577" spans="1:26" ht="12.75" customHeight="1" x14ac:dyDescent="0.3">
      <c r="A577" s="103"/>
      <c r="B577" s="108"/>
      <c r="C577" s="107"/>
      <c r="D577" s="104"/>
      <c r="E577" s="109"/>
      <c r="F577" s="103"/>
      <c r="G577" s="110"/>
      <c r="H577" s="102"/>
      <c r="I577" s="111"/>
      <c r="J577" s="104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</row>
    <row r="578" spans="1:26" ht="12.75" customHeight="1" x14ac:dyDescent="0.3">
      <c r="A578" s="103"/>
      <c r="B578" s="108"/>
      <c r="C578" s="107"/>
      <c r="D578" s="104"/>
      <c r="E578" s="109"/>
      <c r="F578" s="103"/>
      <c r="G578" s="110"/>
      <c r="H578" s="102"/>
      <c r="I578" s="111"/>
      <c r="J578" s="104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</row>
    <row r="579" spans="1:26" ht="12.75" customHeight="1" x14ac:dyDescent="0.3">
      <c r="A579" s="103"/>
      <c r="B579" s="108"/>
      <c r="C579" s="107"/>
      <c r="D579" s="104"/>
      <c r="E579" s="109"/>
      <c r="F579" s="103"/>
      <c r="G579" s="110"/>
      <c r="H579" s="102"/>
      <c r="I579" s="111"/>
      <c r="J579" s="104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</row>
    <row r="580" spans="1:26" ht="12.75" customHeight="1" x14ac:dyDescent="0.3">
      <c r="A580" s="103"/>
      <c r="B580" s="108"/>
      <c r="C580" s="107"/>
      <c r="D580" s="104"/>
      <c r="E580" s="109"/>
      <c r="F580" s="103"/>
      <c r="G580" s="110"/>
      <c r="H580" s="102"/>
      <c r="I580" s="111"/>
      <c r="J580" s="104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</row>
    <row r="581" spans="1:26" ht="12.75" customHeight="1" x14ac:dyDescent="0.3">
      <c r="A581" s="103"/>
      <c r="B581" s="108"/>
      <c r="C581" s="107"/>
      <c r="D581" s="104"/>
      <c r="E581" s="109"/>
      <c r="F581" s="103"/>
      <c r="G581" s="110"/>
      <c r="H581" s="102"/>
      <c r="I581" s="111"/>
      <c r="J581" s="104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</row>
    <row r="582" spans="1:26" ht="12.75" customHeight="1" x14ac:dyDescent="0.3">
      <c r="A582" s="103"/>
      <c r="B582" s="108"/>
      <c r="C582" s="107"/>
      <c r="D582" s="104"/>
      <c r="E582" s="109"/>
      <c r="F582" s="103"/>
      <c r="G582" s="110"/>
      <c r="H582" s="102"/>
      <c r="I582" s="111"/>
      <c r="J582" s="104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</row>
    <row r="583" spans="1:26" ht="12.75" customHeight="1" x14ac:dyDescent="0.3">
      <c r="A583" s="103"/>
      <c r="B583" s="108"/>
      <c r="C583" s="107"/>
      <c r="D583" s="104"/>
      <c r="E583" s="109"/>
      <c r="F583" s="103"/>
      <c r="G583" s="110"/>
      <c r="H583" s="102"/>
      <c r="I583" s="111"/>
      <c r="J583" s="104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</row>
    <row r="584" spans="1:26" ht="12.75" customHeight="1" x14ac:dyDescent="0.3">
      <c r="A584" s="103"/>
      <c r="B584" s="108"/>
      <c r="C584" s="107"/>
      <c r="D584" s="104"/>
      <c r="E584" s="109"/>
      <c r="F584" s="103"/>
      <c r="G584" s="110"/>
      <c r="H584" s="102"/>
      <c r="I584" s="111"/>
      <c r="J584" s="104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</row>
    <row r="585" spans="1:26" ht="12.75" customHeight="1" x14ac:dyDescent="0.3">
      <c r="A585" s="103"/>
      <c r="B585" s="108"/>
      <c r="C585" s="107"/>
      <c r="D585" s="104"/>
      <c r="E585" s="109"/>
      <c r="F585" s="103"/>
      <c r="G585" s="110"/>
      <c r="H585" s="102"/>
      <c r="I585" s="111"/>
      <c r="J585" s="104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</row>
    <row r="586" spans="1:26" ht="12.75" customHeight="1" x14ac:dyDescent="0.3">
      <c r="A586" s="103"/>
      <c r="B586" s="108"/>
      <c r="C586" s="107"/>
      <c r="D586" s="104"/>
      <c r="E586" s="109"/>
      <c r="F586" s="103"/>
      <c r="G586" s="110"/>
      <c r="H586" s="102"/>
      <c r="I586" s="111"/>
      <c r="J586" s="104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</row>
    <row r="587" spans="1:26" ht="12.75" customHeight="1" x14ac:dyDescent="0.3">
      <c r="A587" s="103"/>
      <c r="B587" s="108"/>
      <c r="C587" s="107"/>
      <c r="D587" s="104"/>
      <c r="E587" s="109"/>
      <c r="F587" s="103"/>
      <c r="G587" s="110"/>
      <c r="H587" s="102"/>
      <c r="I587" s="111"/>
      <c r="J587" s="104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</row>
    <row r="588" spans="1:26" ht="12.75" customHeight="1" x14ac:dyDescent="0.3">
      <c r="A588" s="103"/>
      <c r="B588" s="108"/>
      <c r="C588" s="107"/>
      <c r="D588" s="104"/>
      <c r="E588" s="109"/>
      <c r="F588" s="103"/>
      <c r="G588" s="110"/>
      <c r="H588" s="102"/>
      <c r="I588" s="111"/>
      <c r="J588" s="104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</row>
    <row r="589" spans="1:26" ht="12.75" customHeight="1" x14ac:dyDescent="0.3">
      <c r="A589" s="103"/>
      <c r="B589" s="108"/>
      <c r="C589" s="107"/>
      <c r="D589" s="104"/>
      <c r="E589" s="109"/>
      <c r="F589" s="103"/>
      <c r="G589" s="110"/>
      <c r="H589" s="102"/>
      <c r="I589" s="111"/>
      <c r="J589" s="104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</row>
    <row r="590" spans="1:26" ht="12.75" customHeight="1" x14ac:dyDescent="0.3">
      <c r="A590" s="103"/>
      <c r="B590" s="108"/>
      <c r="C590" s="107"/>
      <c r="D590" s="104"/>
      <c r="E590" s="109"/>
      <c r="F590" s="103"/>
      <c r="G590" s="110"/>
      <c r="H590" s="102"/>
      <c r="I590" s="111"/>
      <c r="J590" s="104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</row>
    <row r="591" spans="1:26" ht="12.75" customHeight="1" x14ac:dyDescent="0.3">
      <c r="A591" s="103"/>
      <c r="B591" s="108"/>
      <c r="C591" s="107"/>
      <c r="D591" s="104"/>
      <c r="E591" s="109"/>
      <c r="F591" s="103"/>
      <c r="G591" s="110"/>
      <c r="H591" s="102"/>
      <c r="I591" s="111"/>
      <c r="J591" s="104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</row>
    <row r="592" spans="1:26" ht="12.75" customHeight="1" x14ac:dyDescent="0.3">
      <c r="A592" s="103"/>
      <c r="B592" s="108"/>
      <c r="C592" s="107"/>
      <c r="D592" s="104"/>
      <c r="E592" s="109"/>
      <c r="F592" s="103"/>
      <c r="G592" s="110"/>
      <c r="H592" s="102"/>
      <c r="I592" s="111"/>
      <c r="J592" s="104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</row>
    <row r="593" spans="1:26" ht="12.75" customHeight="1" x14ac:dyDescent="0.3">
      <c r="A593" s="103"/>
      <c r="B593" s="108"/>
      <c r="C593" s="107"/>
      <c r="D593" s="104"/>
      <c r="E593" s="109"/>
      <c r="F593" s="103"/>
      <c r="G593" s="110"/>
      <c r="H593" s="102"/>
      <c r="I593" s="111"/>
      <c r="J593" s="104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</row>
    <row r="594" spans="1:26" ht="12.75" customHeight="1" x14ac:dyDescent="0.3">
      <c r="A594" s="103"/>
      <c r="B594" s="108"/>
      <c r="C594" s="107"/>
      <c r="D594" s="104"/>
      <c r="E594" s="109"/>
      <c r="F594" s="103"/>
      <c r="G594" s="110"/>
      <c r="H594" s="102"/>
      <c r="I594" s="111"/>
      <c r="J594" s="104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</row>
    <row r="595" spans="1:26" ht="12.75" customHeight="1" x14ac:dyDescent="0.3">
      <c r="A595" s="103"/>
      <c r="B595" s="108"/>
      <c r="C595" s="107"/>
      <c r="D595" s="104"/>
      <c r="E595" s="109"/>
      <c r="F595" s="103"/>
      <c r="G595" s="110"/>
      <c r="H595" s="102"/>
      <c r="I595" s="111"/>
      <c r="J595" s="104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</row>
    <row r="596" spans="1:26" ht="12.75" customHeight="1" x14ac:dyDescent="0.3">
      <c r="A596" s="103"/>
      <c r="B596" s="108"/>
      <c r="C596" s="107"/>
      <c r="D596" s="104"/>
      <c r="E596" s="109"/>
      <c r="F596" s="103"/>
      <c r="G596" s="110"/>
      <c r="H596" s="102"/>
      <c r="I596" s="111"/>
      <c r="J596" s="104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</row>
    <row r="597" spans="1:26" ht="12.75" customHeight="1" x14ac:dyDescent="0.3">
      <c r="A597" s="103"/>
      <c r="B597" s="108"/>
      <c r="C597" s="107"/>
      <c r="D597" s="104"/>
      <c r="E597" s="109"/>
      <c r="F597" s="103"/>
      <c r="G597" s="110"/>
      <c r="H597" s="102"/>
      <c r="I597" s="111"/>
      <c r="J597" s="104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</row>
    <row r="598" spans="1:26" ht="12.75" customHeight="1" x14ac:dyDescent="0.3">
      <c r="A598" s="103"/>
      <c r="B598" s="108"/>
      <c r="C598" s="107"/>
      <c r="D598" s="104"/>
      <c r="E598" s="109"/>
      <c r="F598" s="103"/>
      <c r="G598" s="110"/>
      <c r="H598" s="102"/>
      <c r="I598" s="111"/>
      <c r="J598" s="104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</row>
    <row r="599" spans="1:26" ht="12.75" customHeight="1" x14ac:dyDescent="0.3">
      <c r="A599" s="103"/>
      <c r="B599" s="108"/>
      <c r="C599" s="107"/>
      <c r="D599" s="104"/>
      <c r="E599" s="109"/>
      <c r="F599" s="103"/>
      <c r="G599" s="110"/>
      <c r="H599" s="102"/>
      <c r="I599" s="111"/>
      <c r="J599" s="104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</row>
    <row r="600" spans="1:26" ht="12.75" customHeight="1" x14ac:dyDescent="0.3">
      <c r="A600" s="103"/>
      <c r="B600" s="108"/>
      <c r="C600" s="107"/>
      <c r="D600" s="104"/>
      <c r="E600" s="109"/>
      <c r="F600" s="103"/>
      <c r="G600" s="110"/>
      <c r="H600" s="102"/>
      <c r="I600" s="111"/>
      <c r="J600" s="104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</row>
    <row r="601" spans="1:26" ht="12.75" customHeight="1" x14ac:dyDescent="0.3">
      <c r="A601" s="103"/>
      <c r="B601" s="108"/>
      <c r="C601" s="107"/>
      <c r="D601" s="104"/>
      <c r="E601" s="109"/>
      <c r="F601" s="103"/>
      <c r="G601" s="110"/>
      <c r="H601" s="102"/>
      <c r="I601" s="111"/>
      <c r="J601" s="104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</row>
    <row r="602" spans="1:26" ht="12.75" customHeight="1" x14ac:dyDescent="0.3">
      <c r="A602" s="103"/>
      <c r="B602" s="108"/>
      <c r="C602" s="107"/>
      <c r="D602" s="104"/>
      <c r="E602" s="109"/>
      <c r="F602" s="103"/>
      <c r="G602" s="110"/>
      <c r="H602" s="102"/>
      <c r="I602" s="111"/>
      <c r="J602" s="104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</row>
    <row r="603" spans="1:26" ht="12.75" customHeight="1" x14ac:dyDescent="0.3">
      <c r="A603" s="103"/>
      <c r="B603" s="108"/>
      <c r="C603" s="107"/>
      <c r="D603" s="104"/>
      <c r="E603" s="109"/>
      <c r="F603" s="103"/>
      <c r="G603" s="110"/>
      <c r="H603" s="102"/>
      <c r="I603" s="111"/>
      <c r="J603" s="104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</row>
    <row r="604" spans="1:26" ht="12.75" customHeight="1" x14ac:dyDescent="0.3">
      <c r="A604" s="103"/>
      <c r="B604" s="108"/>
      <c r="C604" s="107"/>
      <c r="D604" s="104"/>
      <c r="E604" s="109"/>
      <c r="F604" s="103"/>
      <c r="G604" s="110"/>
      <c r="H604" s="102"/>
      <c r="I604" s="111"/>
      <c r="J604" s="104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</row>
    <row r="605" spans="1:26" ht="12.75" customHeight="1" x14ac:dyDescent="0.3">
      <c r="A605" s="103"/>
      <c r="B605" s="108"/>
      <c r="C605" s="107"/>
      <c r="D605" s="104"/>
      <c r="E605" s="109"/>
      <c r="F605" s="103"/>
      <c r="G605" s="110"/>
      <c r="H605" s="102"/>
      <c r="I605" s="111"/>
      <c r="J605" s="104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</row>
    <row r="606" spans="1:26" ht="12.75" customHeight="1" x14ac:dyDescent="0.3">
      <c r="A606" s="103"/>
      <c r="B606" s="108"/>
      <c r="C606" s="107"/>
      <c r="D606" s="104"/>
      <c r="E606" s="109"/>
      <c r="F606" s="103"/>
      <c r="G606" s="110"/>
      <c r="H606" s="102"/>
      <c r="I606" s="111"/>
      <c r="J606" s="104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</row>
    <row r="607" spans="1:26" ht="12.75" customHeight="1" x14ac:dyDescent="0.3">
      <c r="A607" s="103"/>
      <c r="B607" s="108"/>
      <c r="C607" s="107"/>
      <c r="D607" s="104"/>
      <c r="E607" s="109"/>
      <c r="F607" s="103"/>
      <c r="G607" s="110"/>
      <c r="H607" s="102"/>
      <c r="I607" s="111"/>
      <c r="J607" s="104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</row>
    <row r="608" spans="1:26" ht="12.75" customHeight="1" x14ac:dyDescent="0.3">
      <c r="A608" s="103"/>
      <c r="B608" s="108"/>
      <c r="C608" s="107"/>
      <c r="D608" s="104"/>
      <c r="E608" s="109"/>
      <c r="F608" s="103"/>
      <c r="G608" s="110"/>
      <c r="H608" s="102"/>
      <c r="I608" s="111"/>
      <c r="J608" s="104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</row>
    <row r="609" spans="1:26" ht="12.75" customHeight="1" x14ac:dyDescent="0.3">
      <c r="A609" s="103"/>
      <c r="B609" s="108"/>
      <c r="C609" s="107"/>
      <c r="D609" s="104"/>
      <c r="E609" s="109"/>
      <c r="F609" s="103"/>
      <c r="G609" s="110"/>
      <c r="H609" s="102"/>
      <c r="I609" s="111"/>
      <c r="J609" s="104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</row>
    <row r="610" spans="1:26" ht="12.75" customHeight="1" x14ac:dyDescent="0.3">
      <c r="A610" s="103"/>
      <c r="B610" s="108"/>
      <c r="C610" s="107"/>
      <c r="D610" s="104"/>
      <c r="E610" s="109"/>
      <c r="F610" s="103"/>
      <c r="G610" s="110"/>
      <c r="H610" s="102"/>
      <c r="I610" s="111"/>
      <c r="J610" s="104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</row>
    <row r="611" spans="1:26" ht="12.75" customHeight="1" x14ac:dyDescent="0.3">
      <c r="A611" s="103"/>
      <c r="B611" s="108"/>
      <c r="C611" s="107"/>
      <c r="D611" s="104"/>
      <c r="E611" s="109"/>
      <c r="F611" s="103"/>
      <c r="G611" s="110"/>
      <c r="H611" s="102"/>
      <c r="I611" s="111"/>
      <c r="J611" s="104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</row>
    <row r="612" spans="1:26" ht="12.75" customHeight="1" x14ac:dyDescent="0.3">
      <c r="A612" s="103"/>
      <c r="B612" s="108"/>
      <c r="C612" s="107"/>
      <c r="D612" s="104"/>
      <c r="E612" s="109"/>
      <c r="F612" s="103"/>
      <c r="G612" s="110"/>
      <c r="H612" s="102"/>
      <c r="I612" s="111"/>
      <c r="J612" s="104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</row>
    <row r="613" spans="1:26" ht="12.75" customHeight="1" x14ac:dyDescent="0.3">
      <c r="A613" s="103"/>
      <c r="B613" s="108"/>
      <c r="C613" s="107"/>
      <c r="D613" s="104"/>
      <c r="E613" s="109"/>
      <c r="F613" s="103"/>
      <c r="G613" s="110"/>
      <c r="H613" s="102"/>
      <c r="I613" s="111"/>
      <c r="J613" s="104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</row>
    <row r="614" spans="1:26" ht="12.75" customHeight="1" x14ac:dyDescent="0.3">
      <c r="A614" s="103"/>
      <c r="B614" s="108"/>
      <c r="C614" s="107"/>
      <c r="D614" s="104"/>
      <c r="E614" s="109"/>
      <c r="F614" s="103"/>
      <c r="G614" s="110"/>
      <c r="H614" s="102"/>
      <c r="I614" s="111"/>
      <c r="J614" s="104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</row>
    <row r="615" spans="1:26" ht="12.75" customHeight="1" x14ac:dyDescent="0.3">
      <c r="A615" s="103"/>
      <c r="B615" s="108"/>
      <c r="C615" s="107"/>
      <c r="D615" s="104"/>
      <c r="E615" s="109"/>
      <c r="F615" s="103"/>
      <c r="G615" s="110"/>
      <c r="H615" s="102"/>
      <c r="I615" s="111"/>
      <c r="J615" s="104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</row>
    <row r="616" spans="1:26" ht="12.75" customHeight="1" x14ac:dyDescent="0.3">
      <c r="A616" s="103"/>
      <c r="B616" s="108"/>
      <c r="C616" s="107"/>
      <c r="D616" s="104"/>
      <c r="E616" s="109"/>
      <c r="F616" s="103"/>
      <c r="G616" s="110"/>
      <c r="H616" s="102"/>
      <c r="I616" s="111"/>
      <c r="J616" s="104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</row>
    <row r="617" spans="1:26" ht="12.75" customHeight="1" x14ac:dyDescent="0.3">
      <c r="A617" s="103"/>
      <c r="B617" s="108"/>
      <c r="C617" s="107"/>
      <c r="D617" s="104"/>
      <c r="E617" s="109"/>
      <c r="F617" s="103"/>
      <c r="G617" s="110"/>
      <c r="H617" s="102"/>
      <c r="I617" s="111"/>
      <c r="J617" s="104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</row>
    <row r="618" spans="1:26" ht="12.75" customHeight="1" x14ac:dyDescent="0.3">
      <c r="A618" s="103"/>
      <c r="B618" s="108"/>
      <c r="C618" s="107"/>
      <c r="D618" s="104"/>
      <c r="E618" s="109"/>
      <c r="F618" s="103"/>
      <c r="G618" s="110"/>
      <c r="H618" s="102"/>
      <c r="I618" s="111"/>
      <c r="J618" s="104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</row>
    <row r="619" spans="1:26" ht="12.75" customHeight="1" x14ac:dyDescent="0.3">
      <c r="A619" s="103"/>
      <c r="B619" s="108"/>
      <c r="C619" s="107"/>
      <c r="D619" s="104"/>
      <c r="E619" s="109"/>
      <c r="F619" s="103"/>
      <c r="G619" s="110"/>
      <c r="H619" s="102"/>
      <c r="I619" s="111"/>
      <c r="J619" s="104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</row>
    <row r="620" spans="1:26" ht="12.75" customHeight="1" x14ac:dyDescent="0.3">
      <c r="A620" s="103"/>
      <c r="B620" s="108"/>
      <c r="C620" s="107"/>
      <c r="D620" s="104"/>
      <c r="E620" s="109"/>
      <c r="F620" s="103"/>
      <c r="G620" s="110"/>
      <c r="H620" s="102"/>
      <c r="I620" s="111"/>
      <c r="J620" s="104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</row>
    <row r="621" spans="1:26" ht="12.75" customHeight="1" x14ac:dyDescent="0.3">
      <c r="A621" s="103"/>
      <c r="B621" s="108"/>
      <c r="C621" s="107"/>
      <c r="D621" s="104"/>
      <c r="E621" s="109"/>
      <c r="F621" s="103"/>
      <c r="G621" s="110"/>
      <c r="H621" s="102"/>
      <c r="I621" s="111"/>
      <c r="J621" s="104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</row>
    <row r="622" spans="1:26" ht="12.75" customHeight="1" x14ac:dyDescent="0.3">
      <c r="A622" s="103"/>
      <c r="B622" s="108"/>
      <c r="C622" s="107"/>
      <c r="D622" s="104"/>
      <c r="E622" s="109"/>
      <c r="F622" s="103"/>
      <c r="G622" s="110"/>
      <c r="H622" s="102"/>
      <c r="I622" s="111"/>
      <c r="J622" s="104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</row>
    <row r="623" spans="1:26" ht="12.75" customHeight="1" x14ac:dyDescent="0.3">
      <c r="A623" s="103"/>
      <c r="B623" s="108"/>
      <c r="C623" s="107"/>
      <c r="D623" s="104"/>
      <c r="E623" s="109"/>
      <c r="F623" s="103"/>
      <c r="G623" s="110"/>
      <c r="H623" s="102"/>
      <c r="I623" s="111"/>
      <c r="J623" s="104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</row>
    <row r="624" spans="1:26" ht="12.75" customHeight="1" x14ac:dyDescent="0.3">
      <c r="A624" s="103"/>
      <c r="B624" s="108"/>
      <c r="C624" s="107"/>
      <c r="D624" s="104"/>
      <c r="E624" s="109"/>
      <c r="F624" s="103"/>
      <c r="G624" s="110"/>
      <c r="H624" s="102"/>
      <c r="I624" s="111"/>
      <c r="J624" s="104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</row>
    <row r="625" spans="1:26" ht="12.75" customHeight="1" x14ac:dyDescent="0.3">
      <c r="A625" s="103"/>
      <c r="B625" s="108"/>
      <c r="C625" s="107"/>
      <c r="D625" s="104"/>
      <c r="E625" s="109"/>
      <c r="F625" s="103"/>
      <c r="G625" s="110"/>
      <c r="H625" s="102"/>
      <c r="I625" s="111"/>
      <c r="J625" s="104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</row>
    <row r="626" spans="1:26" ht="12.75" customHeight="1" x14ac:dyDescent="0.3">
      <c r="A626" s="103"/>
      <c r="B626" s="108"/>
      <c r="C626" s="107"/>
      <c r="D626" s="104"/>
      <c r="E626" s="109"/>
      <c r="F626" s="103"/>
      <c r="G626" s="110"/>
      <c r="H626" s="102"/>
      <c r="I626" s="111"/>
      <c r="J626" s="104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</row>
    <row r="627" spans="1:26" ht="12.75" customHeight="1" x14ac:dyDescent="0.3">
      <c r="A627" s="103"/>
      <c r="B627" s="108"/>
      <c r="C627" s="107"/>
      <c r="D627" s="104"/>
      <c r="E627" s="109"/>
      <c r="F627" s="103"/>
      <c r="G627" s="110"/>
      <c r="H627" s="102"/>
      <c r="I627" s="111"/>
      <c r="J627" s="104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</row>
    <row r="628" spans="1:26" ht="12.75" customHeight="1" x14ac:dyDescent="0.3">
      <c r="A628" s="103"/>
      <c r="B628" s="108"/>
      <c r="C628" s="107"/>
      <c r="D628" s="104"/>
      <c r="E628" s="109"/>
      <c r="F628" s="103"/>
      <c r="G628" s="110"/>
      <c r="H628" s="102"/>
      <c r="I628" s="111"/>
      <c r="J628" s="104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</row>
    <row r="629" spans="1:26" ht="12.75" customHeight="1" x14ac:dyDescent="0.3">
      <c r="A629" s="103"/>
      <c r="B629" s="108"/>
      <c r="C629" s="107"/>
      <c r="D629" s="104"/>
      <c r="E629" s="109"/>
      <c r="F629" s="103"/>
      <c r="G629" s="110"/>
      <c r="H629" s="102"/>
      <c r="I629" s="111"/>
      <c r="J629" s="104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</row>
    <row r="630" spans="1:26" ht="12.75" customHeight="1" x14ac:dyDescent="0.3">
      <c r="A630" s="103"/>
      <c r="B630" s="108"/>
      <c r="C630" s="107"/>
      <c r="D630" s="104"/>
      <c r="E630" s="109"/>
      <c r="F630" s="103"/>
      <c r="G630" s="110"/>
      <c r="H630" s="102"/>
      <c r="I630" s="111"/>
      <c r="J630" s="104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</row>
    <row r="631" spans="1:26" ht="12.75" customHeight="1" x14ac:dyDescent="0.3">
      <c r="A631" s="103"/>
      <c r="B631" s="108"/>
      <c r="C631" s="107"/>
      <c r="D631" s="104"/>
      <c r="E631" s="109"/>
      <c r="F631" s="103"/>
      <c r="G631" s="110"/>
      <c r="H631" s="102"/>
      <c r="I631" s="111"/>
      <c r="J631" s="104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</row>
    <row r="632" spans="1:26" ht="12.75" customHeight="1" x14ac:dyDescent="0.3">
      <c r="A632" s="103"/>
      <c r="B632" s="108"/>
      <c r="C632" s="107"/>
      <c r="D632" s="104"/>
      <c r="E632" s="109"/>
      <c r="F632" s="103"/>
      <c r="G632" s="110"/>
      <c r="H632" s="102"/>
      <c r="I632" s="111"/>
      <c r="J632" s="104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</row>
    <row r="633" spans="1:26" ht="12.75" customHeight="1" x14ac:dyDescent="0.3">
      <c r="A633" s="103"/>
      <c r="B633" s="108"/>
      <c r="C633" s="107"/>
      <c r="D633" s="104"/>
      <c r="E633" s="109"/>
      <c r="F633" s="103"/>
      <c r="G633" s="110"/>
      <c r="H633" s="102"/>
      <c r="I633" s="111"/>
      <c r="J633" s="104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</row>
    <row r="634" spans="1:26" ht="12.75" customHeight="1" x14ac:dyDescent="0.3">
      <c r="A634" s="103"/>
      <c r="B634" s="108"/>
      <c r="C634" s="107"/>
      <c r="D634" s="104"/>
      <c r="E634" s="109"/>
      <c r="F634" s="103"/>
      <c r="G634" s="110"/>
      <c r="H634" s="102"/>
      <c r="I634" s="111"/>
      <c r="J634" s="104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</row>
    <row r="635" spans="1:26" ht="12.75" customHeight="1" x14ac:dyDescent="0.3">
      <c r="A635" s="103"/>
      <c r="B635" s="108"/>
      <c r="C635" s="107"/>
      <c r="D635" s="104"/>
      <c r="E635" s="109"/>
      <c r="F635" s="103"/>
      <c r="G635" s="110"/>
      <c r="H635" s="102"/>
      <c r="I635" s="111"/>
      <c r="J635" s="104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</row>
    <row r="636" spans="1:26" ht="12.75" customHeight="1" x14ac:dyDescent="0.3">
      <c r="A636" s="103"/>
      <c r="B636" s="108"/>
      <c r="C636" s="107"/>
      <c r="D636" s="104"/>
      <c r="E636" s="109"/>
      <c r="F636" s="103"/>
      <c r="G636" s="110"/>
      <c r="H636" s="102"/>
      <c r="I636" s="111"/>
      <c r="J636" s="104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</row>
    <row r="637" spans="1:26" ht="12.75" customHeight="1" x14ac:dyDescent="0.3">
      <c r="A637" s="103"/>
      <c r="B637" s="108"/>
      <c r="C637" s="107"/>
      <c r="D637" s="104"/>
      <c r="E637" s="109"/>
      <c r="F637" s="103"/>
      <c r="G637" s="110"/>
      <c r="H637" s="102"/>
      <c r="I637" s="111"/>
      <c r="J637" s="104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</row>
    <row r="638" spans="1:26" ht="12.75" customHeight="1" x14ac:dyDescent="0.3">
      <c r="A638" s="103"/>
      <c r="B638" s="108"/>
      <c r="C638" s="107"/>
      <c r="D638" s="104"/>
      <c r="E638" s="109"/>
      <c r="F638" s="103"/>
      <c r="G638" s="110"/>
      <c r="H638" s="102"/>
      <c r="I638" s="111"/>
      <c r="J638" s="104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</row>
    <row r="639" spans="1:26" ht="12.75" customHeight="1" x14ac:dyDescent="0.3">
      <c r="A639" s="103"/>
      <c r="B639" s="108"/>
      <c r="C639" s="107"/>
      <c r="D639" s="104"/>
      <c r="E639" s="109"/>
      <c r="F639" s="103"/>
      <c r="G639" s="110"/>
      <c r="H639" s="102"/>
      <c r="I639" s="111"/>
      <c r="J639" s="104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</row>
    <row r="640" spans="1:26" ht="12.75" customHeight="1" x14ac:dyDescent="0.3">
      <c r="A640" s="103"/>
      <c r="B640" s="108"/>
      <c r="C640" s="107"/>
      <c r="D640" s="104"/>
      <c r="E640" s="109"/>
      <c r="F640" s="103"/>
      <c r="G640" s="110"/>
      <c r="H640" s="102"/>
      <c r="I640" s="111"/>
      <c r="J640" s="104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</row>
    <row r="641" spans="1:26" ht="12.75" customHeight="1" x14ac:dyDescent="0.3">
      <c r="A641" s="103"/>
      <c r="B641" s="108"/>
      <c r="C641" s="107"/>
      <c r="D641" s="104"/>
      <c r="E641" s="109"/>
      <c r="F641" s="103"/>
      <c r="G641" s="110"/>
      <c r="H641" s="102"/>
      <c r="I641" s="111"/>
      <c r="J641" s="104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</row>
    <row r="642" spans="1:26" ht="12.75" customHeight="1" x14ac:dyDescent="0.3">
      <c r="A642" s="103"/>
      <c r="B642" s="108"/>
      <c r="C642" s="107"/>
      <c r="D642" s="104"/>
      <c r="E642" s="109"/>
      <c r="F642" s="103"/>
      <c r="G642" s="110"/>
      <c r="H642" s="102"/>
      <c r="I642" s="111"/>
      <c r="J642" s="104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</row>
    <row r="643" spans="1:26" ht="12.75" customHeight="1" x14ac:dyDescent="0.3">
      <c r="A643" s="103"/>
      <c r="B643" s="108"/>
      <c r="C643" s="107"/>
      <c r="D643" s="104"/>
      <c r="E643" s="109"/>
      <c r="F643" s="103"/>
      <c r="G643" s="110"/>
      <c r="H643" s="102"/>
      <c r="I643" s="111"/>
      <c r="J643" s="104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</row>
    <row r="644" spans="1:26" ht="12.75" customHeight="1" x14ac:dyDescent="0.3">
      <c r="A644" s="103"/>
      <c r="B644" s="108"/>
      <c r="C644" s="107"/>
      <c r="D644" s="104"/>
      <c r="E644" s="109"/>
      <c r="F644" s="103"/>
      <c r="G644" s="110"/>
      <c r="H644" s="102"/>
      <c r="I644" s="111"/>
      <c r="J644" s="104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</row>
    <row r="645" spans="1:26" ht="12.75" customHeight="1" x14ac:dyDescent="0.3">
      <c r="A645" s="103"/>
      <c r="B645" s="108"/>
      <c r="C645" s="107"/>
      <c r="D645" s="104"/>
      <c r="E645" s="109"/>
      <c r="F645" s="103"/>
      <c r="G645" s="110"/>
      <c r="H645" s="102"/>
      <c r="I645" s="111"/>
      <c r="J645" s="104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</row>
    <row r="646" spans="1:26" ht="12.75" customHeight="1" x14ac:dyDescent="0.3">
      <c r="A646" s="103"/>
      <c r="B646" s="108"/>
      <c r="C646" s="107"/>
      <c r="D646" s="104"/>
      <c r="E646" s="109"/>
      <c r="F646" s="103"/>
      <c r="G646" s="110"/>
      <c r="H646" s="102"/>
      <c r="I646" s="111"/>
      <c r="J646" s="104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</row>
    <row r="647" spans="1:26" ht="12.75" customHeight="1" x14ac:dyDescent="0.3">
      <c r="A647" s="103"/>
      <c r="B647" s="108"/>
      <c r="C647" s="107"/>
      <c r="D647" s="104"/>
      <c r="E647" s="109"/>
      <c r="F647" s="103"/>
      <c r="G647" s="110"/>
      <c r="H647" s="102"/>
      <c r="I647" s="111"/>
      <c r="J647" s="104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</row>
    <row r="648" spans="1:26" ht="12.75" customHeight="1" x14ac:dyDescent="0.3">
      <c r="A648" s="103"/>
      <c r="B648" s="108"/>
      <c r="C648" s="107"/>
      <c r="D648" s="104"/>
      <c r="E648" s="109"/>
      <c r="F648" s="103"/>
      <c r="G648" s="110"/>
      <c r="H648" s="102"/>
      <c r="I648" s="111"/>
      <c r="J648" s="104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</row>
    <row r="649" spans="1:26" ht="12.75" customHeight="1" x14ac:dyDescent="0.3">
      <c r="A649" s="103"/>
      <c r="B649" s="108"/>
      <c r="C649" s="107"/>
      <c r="D649" s="104"/>
      <c r="E649" s="109"/>
      <c r="F649" s="103"/>
      <c r="G649" s="110"/>
      <c r="H649" s="102"/>
      <c r="I649" s="111"/>
      <c r="J649" s="104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</row>
    <row r="650" spans="1:26" ht="12.75" customHeight="1" x14ac:dyDescent="0.3">
      <c r="A650" s="103"/>
      <c r="B650" s="108"/>
      <c r="C650" s="107"/>
      <c r="D650" s="104"/>
      <c r="E650" s="109"/>
      <c r="F650" s="103"/>
      <c r="G650" s="110"/>
      <c r="H650" s="102"/>
      <c r="I650" s="111"/>
      <c r="J650" s="104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</row>
    <row r="651" spans="1:26" ht="12.75" customHeight="1" x14ac:dyDescent="0.3">
      <c r="A651" s="103"/>
      <c r="B651" s="108"/>
      <c r="C651" s="107"/>
      <c r="D651" s="104"/>
      <c r="E651" s="109"/>
      <c r="F651" s="103"/>
      <c r="G651" s="110"/>
      <c r="H651" s="102"/>
      <c r="I651" s="111"/>
      <c r="J651" s="104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</row>
    <row r="652" spans="1:26" ht="12.75" customHeight="1" x14ac:dyDescent="0.3">
      <c r="A652" s="103"/>
      <c r="B652" s="108"/>
      <c r="C652" s="107"/>
      <c r="D652" s="104"/>
      <c r="E652" s="109"/>
      <c r="F652" s="103"/>
      <c r="G652" s="110"/>
      <c r="H652" s="102"/>
      <c r="I652" s="111"/>
      <c r="J652" s="104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</row>
    <row r="653" spans="1:26" ht="12.75" customHeight="1" x14ac:dyDescent="0.3">
      <c r="A653" s="103"/>
      <c r="B653" s="108"/>
      <c r="C653" s="107"/>
      <c r="D653" s="104"/>
      <c r="E653" s="109"/>
      <c r="F653" s="103"/>
      <c r="G653" s="110"/>
      <c r="H653" s="102"/>
      <c r="I653" s="111"/>
      <c r="J653" s="104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</row>
    <row r="654" spans="1:26" ht="12.75" customHeight="1" x14ac:dyDescent="0.3">
      <c r="A654" s="103"/>
      <c r="B654" s="108"/>
      <c r="C654" s="107"/>
      <c r="D654" s="104"/>
      <c r="E654" s="109"/>
      <c r="F654" s="103"/>
      <c r="G654" s="110"/>
      <c r="H654" s="102"/>
      <c r="I654" s="111"/>
      <c r="J654" s="104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</row>
    <row r="655" spans="1:26" ht="12.75" customHeight="1" x14ac:dyDescent="0.3">
      <c r="A655" s="103"/>
      <c r="B655" s="108"/>
      <c r="C655" s="107"/>
      <c r="D655" s="104"/>
      <c r="E655" s="109"/>
      <c r="F655" s="103"/>
      <c r="G655" s="110"/>
      <c r="H655" s="102"/>
      <c r="I655" s="111"/>
      <c r="J655" s="104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</row>
    <row r="656" spans="1:26" ht="12.75" customHeight="1" x14ac:dyDescent="0.3">
      <c r="A656" s="103"/>
      <c r="B656" s="108"/>
      <c r="C656" s="107"/>
      <c r="D656" s="104"/>
      <c r="E656" s="109"/>
      <c r="F656" s="103"/>
      <c r="G656" s="110"/>
      <c r="H656" s="102"/>
      <c r="I656" s="111"/>
      <c r="J656" s="104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</row>
    <row r="657" spans="1:26" ht="12.75" customHeight="1" x14ac:dyDescent="0.3">
      <c r="A657" s="103"/>
      <c r="B657" s="108"/>
      <c r="C657" s="107"/>
      <c r="D657" s="104"/>
      <c r="E657" s="109"/>
      <c r="F657" s="103"/>
      <c r="G657" s="110"/>
      <c r="H657" s="102"/>
      <c r="I657" s="111"/>
      <c r="J657" s="104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</row>
    <row r="658" spans="1:26" ht="12.75" customHeight="1" x14ac:dyDescent="0.3">
      <c r="A658" s="103"/>
      <c r="B658" s="108"/>
      <c r="C658" s="107"/>
      <c r="D658" s="104"/>
      <c r="E658" s="109"/>
      <c r="F658" s="103"/>
      <c r="G658" s="110"/>
      <c r="H658" s="102"/>
      <c r="I658" s="111"/>
      <c r="J658" s="104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</row>
    <row r="659" spans="1:26" ht="12.75" customHeight="1" x14ac:dyDescent="0.3">
      <c r="A659" s="103"/>
      <c r="B659" s="108"/>
      <c r="C659" s="107"/>
      <c r="D659" s="104"/>
      <c r="E659" s="109"/>
      <c r="F659" s="103"/>
      <c r="G659" s="110"/>
      <c r="H659" s="102"/>
      <c r="I659" s="111"/>
      <c r="J659" s="104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</row>
    <row r="660" spans="1:26" ht="12.75" customHeight="1" x14ac:dyDescent="0.3">
      <c r="A660" s="103"/>
      <c r="B660" s="108"/>
      <c r="C660" s="107"/>
      <c r="D660" s="104"/>
      <c r="E660" s="109"/>
      <c r="F660" s="103"/>
      <c r="G660" s="110"/>
      <c r="H660" s="102"/>
      <c r="I660" s="111"/>
      <c r="J660" s="104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</row>
    <row r="661" spans="1:26" ht="12.75" customHeight="1" x14ac:dyDescent="0.3">
      <c r="A661" s="103"/>
      <c r="B661" s="108"/>
      <c r="C661" s="107"/>
      <c r="D661" s="104"/>
      <c r="E661" s="109"/>
      <c r="F661" s="103"/>
      <c r="G661" s="110"/>
      <c r="H661" s="102"/>
      <c r="I661" s="111"/>
      <c r="J661" s="104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</row>
    <row r="662" spans="1:26" ht="12.75" customHeight="1" x14ac:dyDescent="0.3">
      <c r="A662" s="103"/>
      <c r="B662" s="108"/>
      <c r="C662" s="107"/>
      <c r="D662" s="104"/>
      <c r="E662" s="109"/>
      <c r="F662" s="103"/>
      <c r="G662" s="110"/>
      <c r="H662" s="102"/>
      <c r="I662" s="111"/>
      <c r="J662" s="104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</row>
    <row r="663" spans="1:26" ht="12.75" customHeight="1" x14ac:dyDescent="0.3">
      <c r="A663" s="103"/>
      <c r="B663" s="108"/>
      <c r="C663" s="107"/>
      <c r="D663" s="104"/>
      <c r="E663" s="109"/>
      <c r="F663" s="103"/>
      <c r="G663" s="110"/>
      <c r="H663" s="102"/>
      <c r="I663" s="111"/>
      <c r="J663" s="104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</row>
    <row r="664" spans="1:26" ht="12.75" customHeight="1" x14ac:dyDescent="0.3">
      <c r="A664" s="103"/>
      <c r="B664" s="108"/>
      <c r="C664" s="107"/>
      <c r="D664" s="104"/>
      <c r="E664" s="109"/>
      <c r="F664" s="103"/>
      <c r="G664" s="110"/>
      <c r="H664" s="102"/>
      <c r="I664" s="111"/>
      <c r="J664" s="104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</row>
    <row r="665" spans="1:26" ht="12.75" customHeight="1" x14ac:dyDescent="0.3">
      <c r="A665" s="103"/>
      <c r="B665" s="108"/>
      <c r="C665" s="107"/>
      <c r="D665" s="104"/>
      <c r="E665" s="109"/>
      <c r="F665" s="103"/>
      <c r="G665" s="110"/>
      <c r="H665" s="102"/>
      <c r="I665" s="111"/>
      <c r="J665" s="104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</row>
    <row r="666" spans="1:26" ht="12.75" customHeight="1" x14ac:dyDescent="0.3">
      <c r="A666" s="103"/>
      <c r="B666" s="108"/>
      <c r="C666" s="107"/>
      <c r="D666" s="104"/>
      <c r="E666" s="109"/>
      <c r="F666" s="103"/>
      <c r="G666" s="110"/>
      <c r="H666" s="102"/>
      <c r="I666" s="111"/>
      <c r="J666" s="104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</row>
    <row r="667" spans="1:26" ht="12.75" customHeight="1" x14ac:dyDescent="0.3">
      <c r="A667" s="103"/>
      <c r="B667" s="108"/>
      <c r="C667" s="107"/>
      <c r="D667" s="104"/>
      <c r="E667" s="109"/>
      <c r="F667" s="103"/>
      <c r="G667" s="110"/>
      <c r="H667" s="102"/>
      <c r="I667" s="111"/>
      <c r="J667" s="104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</row>
    <row r="668" spans="1:26" ht="12.75" customHeight="1" x14ac:dyDescent="0.3">
      <c r="A668" s="103"/>
      <c r="B668" s="108"/>
      <c r="C668" s="107"/>
      <c r="D668" s="104"/>
      <c r="E668" s="109"/>
      <c r="F668" s="103"/>
      <c r="G668" s="110"/>
      <c r="H668" s="102"/>
      <c r="I668" s="111"/>
      <c r="J668" s="104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</row>
    <row r="669" spans="1:26" ht="12.75" customHeight="1" x14ac:dyDescent="0.3">
      <c r="A669" s="103"/>
      <c r="B669" s="108"/>
      <c r="C669" s="107"/>
      <c r="D669" s="104"/>
      <c r="E669" s="109"/>
      <c r="F669" s="103"/>
      <c r="G669" s="110"/>
      <c r="H669" s="102"/>
      <c r="I669" s="111"/>
      <c r="J669" s="104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</row>
    <row r="670" spans="1:26" ht="12.75" customHeight="1" x14ac:dyDescent="0.3">
      <c r="A670" s="103"/>
      <c r="B670" s="108"/>
      <c r="C670" s="107"/>
      <c r="D670" s="104"/>
      <c r="E670" s="109"/>
      <c r="F670" s="103"/>
      <c r="G670" s="110"/>
      <c r="H670" s="102"/>
      <c r="I670" s="111"/>
      <c r="J670" s="104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</row>
    <row r="671" spans="1:26" ht="12.75" customHeight="1" x14ac:dyDescent="0.3">
      <c r="A671" s="103"/>
      <c r="B671" s="108"/>
      <c r="C671" s="107"/>
      <c r="D671" s="104"/>
      <c r="E671" s="109"/>
      <c r="F671" s="103"/>
      <c r="G671" s="110"/>
      <c r="H671" s="102"/>
      <c r="I671" s="111"/>
      <c r="J671" s="104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</row>
    <row r="672" spans="1:26" ht="12.75" customHeight="1" x14ac:dyDescent="0.3">
      <c r="A672" s="103"/>
      <c r="B672" s="108"/>
      <c r="C672" s="107"/>
      <c r="D672" s="104"/>
      <c r="E672" s="109"/>
      <c r="F672" s="103"/>
      <c r="G672" s="110"/>
      <c r="H672" s="102"/>
      <c r="I672" s="111"/>
      <c r="J672" s="104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</row>
    <row r="673" spans="1:26" ht="12.75" customHeight="1" x14ac:dyDescent="0.3">
      <c r="A673" s="103"/>
      <c r="B673" s="108"/>
      <c r="C673" s="107"/>
      <c r="D673" s="104"/>
      <c r="E673" s="109"/>
      <c r="F673" s="103"/>
      <c r="G673" s="110"/>
      <c r="H673" s="102"/>
      <c r="I673" s="111"/>
      <c r="J673" s="104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</row>
    <row r="674" spans="1:26" ht="12.75" customHeight="1" x14ac:dyDescent="0.3">
      <c r="A674" s="103"/>
      <c r="B674" s="108"/>
      <c r="C674" s="107"/>
      <c r="D674" s="104"/>
      <c r="E674" s="109"/>
      <c r="F674" s="103"/>
      <c r="G674" s="110"/>
      <c r="H674" s="102"/>
      <c r="I674" s="111"/>
      <c r="J674" s="104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</row>
    <row r="675" spans="1:26" ht="12.75" customHeight="1" x14ac:dyDescent="0.3">
      <c r="A675" s="103"/>
      <c r="B675" s="108"/>
      <c r="C675" s="107"/>
      <c r="D675" s="104"/>
      <c r="E675" s="109"/>
      <c r="F675" s="103"/>
      <c r="G675" s="110"/>
      <c r="H675" s="102"/>
      <c r="I675" s="111"/>
      <c r="J675" s="104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</row>
    <row r="676" spans="1:26" ht="12.75" customHeight="1" x14ac:dyDescent="0.3">
      <c r="A676" s="103"/>
      <c r="B676" s="108"/>
      <c r="C676" s="107"/>
      <c r="D676" s="104"/>
      <c r="E676" s="109"/>
      <c r="F676" s="103"/>
      <c r="G676" s="110"/>
      <c r="H676" s="102"/>
      <c r="I676" s="111"/>
      <c r="J676" s="104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</row>
    <row r="677" spans="1:26" ht="12.75" customHeight="1" x14ac:dyDescent="0.3">
      <c r="A677" s="103"/>
      <c r="B677" s="108"/>
      <c r="C677" s="107"/>
      <c r="D677" s="104"/>
      <c r="E677" s="109"/>
      <c r="F677" s="103"/>
      <c r="G677" s="110"/>
      <c r="H677" s="102"/>
      <c r="I677" s="111"/>
      <c r="J677" s="104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</row>
    <row r="678" spans="1:26" ht="12.75" customHeight="1" x14ac:dyDescent="0.3">
      <c r="A678" s="103"/>
      <c r="B678" s="108"/>
      <c r="C678" s="107"/>
      <c r="D678" s="104"/>
      <c r="E678" s="109"/>
      <c r="F678" s="103"/>
      <c r="G678" s="110"/>
      <c r="H678" s="102"/>
      <c r="I678" s="111"/>
      <c r="J678" s="104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</row>
    <row r="679" spans="1:26" ht="12.75" customHeight="1" x14ac:dyDescent="0.3">
      <c r="A679" s="103"/>
      <c r="B679" s="108"/>
      <c r="C679" s="107"/>
      <c r="D679" s="104"/>
      <c r="E679" s="109"/>
      <c r="F679" s="103"/>
      <c r="G679" s="110"/>
      <c r="H679" s="102"/>
      <c r="I679" s="111"/>
      <c r="J679" s="104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</row>
    <row r="680" spans="1:26" ht="12.75" customHeight="1" x14ac:dyDescent="0.3">
      <c r="A680" s="103"/>
      <c r="B680" s="108"/>
      <c r="C680" s="107"/>
      <c r="D680" s="104"/>
      <c r="E680" s="109"/>
      <c r="F680" s="103"/>
      <c r="G680" s="110"/>
      <c r="H680" s="102"/>
      <c r="I680" s="111"/>
      <c r="J680" s="104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</row>
    <row r="681" spans="1:26" ht="12.75" customHeight="1" x14ac:dyDescent="0.3">
      <c r="A681" s="103"/>
      <c r="B681" s="108"/>
      <c r="C681" s="107"/>
      <c r="D681" s="104"/>
      <c r="E681" s="109"/>
      <c r="F681" s="103"/>
      <c r="G681" s="110"/>
      <c r="H681" s="102"/>
      <c r="I681" s="111"/>
      <c r="J681" s="104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</row>
    <row r="682" spans="1:26" ht="12.75" customHeight="1" x14ac:dyDescent="0.3">
      <c r="A682" s="103"/>
      <c r="B682" s="108"/>
      <c r="C682" s="107"/>
      <c r="D682" s="104"/>
      <c r="E682" s="109"/>
      <c r="F682" s="103"/>
      <c r="G682" s="110"/>
      <c r="H682" s="102"/>
      <c r="I682" s="111"/>
      <c r="J682" s="104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</row>
    <row r="683" spans="1:26" ht="12.75" customHeight="1" x14ac:dyDescent="0.3">
      <c r="A683" s="103"/>
      <c r="B683" s="108"/>
      <c r="C683" s="107"/>
      <c r="D683" s="104"/>
      <c r="E683" s="109"/>
      <c r="F683" s="103"/>
      <c r="G683" s="110"/>
      <c r="H683" s="102"/>
      <c r="I683" s="111"/>
      <c r="J683" s="104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</row>
    <row r="684" spans="1:26" ht="12.75" customHeight="1" x14ac:dyDescent="0.3">
      <c r="A684" s="103"/>
      <c r="B684" s="108"/>
      <c r="C684" s="107"/>
      <c r="D684" s="104"/>
      <c r="E684" s="109"/>
      <c r="F684" s="103"/>
      <c r="G684" s="110"/>
      <c r="H684" s="102"/>
      <c r="I684" s="111"/>
      <c r="J684" s="104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</row>
    <row r="685" spans="1:26" ht="12.75" customHeight="1" x14ac:dyDescent="0.3">
      <c r="A685" s="103"/>
      <c r="B685" s="108"/>
      <c r="C685" s="107"/>
      <c r="D685" s="104"/>
      <c r="E685" s="109"/>
      <c r="F685" s="103"/>
      <c r="G685" s="110"/>
      <c r="H685" s="102"/>
      <c r="I685" s="111"/>
      <c r="J685" s="104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</row>
    <row r="686" spans="1:26" ht="12.75" customHeight="1" x14ac:dyDescent="0.3">
      <c r="A686" s="103"/>
      <c r="B686" s="108"/>
      <c r="C686" s="107"/>
      <c r="D686" s="104"/>
      <c r="E686" s="109"/>
      <c r="F686" s="103"/>
      <c r="G686" s="110"/>
      <c r="H686" s="102"/>
      <c r="I686" s="111"/>
      <c r="J686" s="104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</row>
    <row r="687" spans="1:26" ht="12.75" customHeight="1" x14ac:dyDescent="0.3">
      <c r="A687" s="103"/>
      <c r="B687" s="108"/>
      <c r="C687" s="107"/>
      <c r="D687" s="104"/>
      <c r="E687" s="109"/>
      <c r="F687" s="103"/>
      <c r="G687" s="110"/>
      <c r="H687" s="102"/>
      <c r="I687" s="111"/>
      <c r="J687" s="104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</row>
    <row r="688" spans="1:26" ht="12.75" customHeight="1" x14ac:dyDescent="0.3">
      <c r="A688" s="103"/>
      <c r="B688" s="108"/>
      <c r="C688" s="107"/>
      <c r="D688" s="104"/>
      <c r="E688" s="109"/>
      <c r="F688" s="103"/>
      <c r="G688" s="110"/>
      <c r="H688" s="102"/>
      <c r="I688" s="111"/>
      <c r="J688" s="104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</row>
    <row r="689" spans="1:26" ht="12.75" customHeight="1" x14ac:dyDescent="0.3">
      <c r="A689" s="103"/>
      <c r="B689" s="108"/>
      <c r="C689" s="107"/>
      <c r="D689" s="104"/>
      <c r="E689" s="109"/>
      <c r="F689" s="103"/>
      <c r="G689" s="110"/>
      <c r="H689" s="102"/>
      <c r="I689" s="111"/>
      <c r="J689" s="104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</row>
    <row r="690" spans="1:26" ht="12.75" customHeight="1" x14ac:dyDescent="0.3">
      <c r="A690" s="103"/>
      <c r="B690" s="108"/>
      <c r="C690" s="107"/>
      <c r="D690" s="104"/>
      <c r="E690" s="109"/>
      <c r="F690" s="103"/>
      <c r="G690" s="110"/>
      <c r="H690" s="102"/>
      <c r="I690" s="111"/>
      <c r="J690" s="104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</row>
    <row r="691" spans="1:26" ht="12.75" customHeight="1" x14ac:dyDescent="0.3">
      <c r="A691" s="103"/>
      <c r="B691" s="108"/>
      <c r="C691" s="107"/>
      <c r="D691" s="104"/>
      <c r="E691" s="109"/>
      <c r="F691" s="103"/>
      <c r="G691" s="110"/>
      <c r="H691" s="102"/>
      <c r="I691" s="111"/>
      <c r="J691" s="104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</row>
    <row r="692" spans="1:26" ht="12.75" customHeight="1" x14ac:dyDescent="0.3">
      <c r="A692" s="103"/>
      <c r="B692" s="108"/>
      <c r="C692" s="107"/>
      <c r="D692" s="104"/>
      <c r="E692" s="109"/>
      <c r="F692" s="103"/>
      <c r="G692" s="110"/>
      <c r="H692" s="102"/>
      <c r="I692" s="111"/>
      <c r="J692" s="104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</row>
    <row r="693" spans="1:26" ht="12.75" customHeight="1" x14ac:dyDescent="0.3">
      <c r="A693" s="103"/>
      <c r="B693" s="108"/>
      <c r="C693" s="107"/>
      <c r="D693" s="104"/>
      <c r="E693" s="109"/>
      <c r="F693" s="103"/>
      <c r="G693" s="110"/>
      <c r="H693" s="102"/>
      <c r="I693" s="111"/>
      <c r="J693" s="104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</row>
    <row r="694" spans="1:26" ht="12.75" customHeight="1" x14ac:dyDescent="0.3">
      <c r="A694" s="103"/>
      <c r="B694" s="108"/>
      <c r="C694" s="107"/>
      <c r="D694" s="104"/>
      <c r="E694" s="109"/>
      <c r="F694" s="103"/>
      <c r="G694" s="110"/>
      <c r="H694" s="102"/>
      <c r="I694" s="111"/>
      <c r="J694" s="104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</row>
    <row r="695" spans="1:26" ht="12.75" customHeight="1" x14ac:dyDescent="0.3">
      <c r="A695" s="103"/>
      <c r="B695" s="108"/>
      <c r="C695" s="107"/>
      <c r="D695" s="104"/>
      <c r="E695" s="109"/>
      <c r="F695" s="103"/>
      <c r="G695" s="110"/>
      <c r="H695" s="102"/>
      <c r="I695" s="111"/>
      <c r="J695" s="104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</row>
    <row r="696" spans="1:26" ht="12.75" customHeight="1" x14ac:dyDescent="0.3">
      <c r="A696" s="103"/>
      <c r="B696" s="108"/>
      <c r="C696" s="107"/>
      <c r="D696" s="104"/>
      <c r="E696" s="109"/>
      <c r="F696" s="103"/>
      <c r="G696" s="110"/>
      <c r="H696" s="102"/>
      <c r="I696" s="111"/>
      <c r="J696" s="104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</row>
    <row r="697" spans="1:26" ht="12.75" customHeight="1" x14ac:dyDescent="0.3">
      <c r="A697" s="103"/>
      <c r="B697" s="108"/>
      <c r="C697" s="107"/>
      <c r="D697" s="104"/>
      <c r="E697" s="109"/>
      <c r="F697" s="103"/>
      <c r="G697" s="110"/>
      <c r="H697" s="102"/>
      <c r="I697" s="111"/>
      <c r="J697" s="104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</row>
    <row r="698" spans="1:26" ht="12.75" customHeight="1" x14ac:dyDescent="0.3">
      <c r="A698" s="103"/>
      <c r="B698" s="108"/>
      <c r="C698" s="107"/>
      <c r="D698" s="104"/>
      <c r="E698" s="109"/>
      <c r="F698" s="103"/>
      <c r="G698" s="110"/>
      <c r="H698" s="102"/>
      <c r="I698" s="111"/>
      <c r="J698" s="104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</row>
    <row r="699" spans="1:26" ht="12.75" customHeight="1" x14ac:dyDescent="0.3">
      <c r="A699" s="103"/>
      <c r="B699" s="108"/>
      <c r="C699" s="107"/>
      <c r="D699" s="104"/>
      <c r="E699" s="109"/>
      <c r="F699" s="103"/>
      <c r="G699" s="110"/>
      <c r="H699" s="102"/>
      <c r="I699" s="111"/>
      <c r="J699" s="104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</row>
    <row r="700" spans="1:26" ht="12.75" customHeight="1" x14ac:dyDescent="0.3">
      <c r="A700" s="103"/>
      <c r="B700" s="108"/>
      <c r="C700" s="107"/>
      <c r="D700" s="104"/>
      <c r="E700" s="109"/>
      <c r="F700" s="103"/>
      <c r="G700" s="110"/>
      <c r="H700" s="102"/>
      <c r="I700" s="111"/>
      <c r="J700" s="104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</row>
    <row r="701" spans="1:26" ht="12.75" customHeight="1" x14ac:dyDescent="0.3">
      <c r="A701" s="103"/>
      <c r="B701" s="108"/>
      <c r="C701" s="107"/>
      <c r="D701" s="104"/>
      <c r="E701" s="109"/>
      <c r="F701" s="103"/>
      <c r="G701" s="110"/>
      <c r="H701" s="102"/>
      <c r="I701" s="111"/>
      <c r="J701" s="104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</row>
    <row r="702" spans="1:26" ht="12.75" customHeight="1" x14ac:dyDescent="0.3">
      <c r="A702" s="103"/>
      <c r="B702" s="108"/>
      <c r="C702" s="107"/>
      <c r="D702" s="104"/>
      <c r="E702" s="109"/>
      <c r="F702" s="103"/>
      <c r="G702" s="110"/>
      <c r="H702" s="102"/>
      <c r="I702" s="111"/>
      <c r="J702" s="104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</row>
    <row r="703" spans="1:26" ht="12.75" customHeight="1" x14ac:dyDescent="0.3">
      <c r="A703" s="103"/>
      <c r="B703" s="108"/>
      <c r="C703" s="107"/>
      <c r="D703" s="104"/>
      <c r="E703" s="109"/>
      <c r="F703" s="103"/>
      <c r="G703" s="110"/>
      <c r="H703" s="102"/>
      <c r="I703" s="111"/>
      <c r="J703" s="104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</row>
    <row r="704" spans="1:26" ht="12.75" customHeight="1" x14ac:dyDescent="0.3">
      <c r="A704" s="103"/>
      <c r="B704" s="108"/>
      <c r="C704" s="107"/>
      <c r="D704" s="104"/>
      <c r="E704" s="109"/>
      <c r="F704" s="103"/>
      <c r="G704" s="110"/>
      <c r="H704" s="102"/>
      <c r="I704" s="111"/>
      <c r="J704" s="104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</row>
    <row r="705" spans="1:26" ht="12.75" customHeight="1" x14ac:dyDescent="0.3">
      <c r="A705" s="103"/>
      <c r="B705" s="108"/>
      <c r="C705" s="107"/>
      <c r="D705" s="104"/>
      <c r="E705" s="109"/>
      <c r="F705" s="103"/>
      <c r="G705" s="110"/>
      <c r="H705" s="102"/>
      <c r="I705" s="111"/>
      <c r="J705" s="104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</row>
    <row r="706" spans="1:26" ht="12.75" customHeight="1" x14ac:dyDescent="0.3">
      <c r="A706" s="103"/>
      <c r="B706" s="108"/>
      <c r="C706" s="107"/>
      <c r="D706" s="104"/>
      <c r="E706" s="109"/>
      <c r="F706" s="103"/>
      <c r="G706" s="110"/>
      <c r="H706" s="102"/>
      <c r="I706" s="111"/>
      <c r="J706" s="104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</row>
    <row r="707" spans="1:26" ht="12.75" customHeight="1" x14ac:dyDescent="0.3">
      <c r="A707" s="103"/>
      <c r="B707" s="108"/>
      <c r="C707" s="107"/>
      <c r="D707" s="104"/>
      <c r="E707" s="109"/>
      <c r="F707" s="103"/>
      <c r="G707" s="110"/>
      <c r="H707" s="102"/>
      <c r="I707" s="111"/>
      <c r="J707" s="104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</row>
    <row r="708" spans="1:26" ht="12.75" customHeight="1" x14ac:dyDescent="0.3">
      <c r="A708" s="103"/>
      <c r="B708" s="108"/>
      <c r="C708" s="107"/>
      <c r="D708" s="104"/>
      <c r="E708" s="109"/>
      <c r="F708" s="103"/>
      <c r="G708" s="110"/>
      <c r="H708" s="102"/>
      <c r="I708" s="111"/>
      <c r="J708" s="104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</row>
    <row r="709" spans="1:26" ht="12.75" customHeight="1" x14ac:dyDescent="0.3">
      <c r="A709" s="103"/>
      <c r="B709" s="108"/>
      <c r="C709" s="107"/>
      <c r="D709" s="104"/>
      <c r="E709" s="109"/>
      <c r="F709" s="103"/>
      <c r="G709" s="110"/>
      <c r="H709" s="102"/>
      <c r="I709" s="111"/>
      <c r="J709" s="104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</row>
    <row r="710" spans="1:26" ht="12.75" customHeight="1" x14ac:dyDescent="0.3">
      <c r="A710" s="103"/>
      <c r="B710" s="108"/>
      <c r="C710" s="107"/>
      <c r="D710" s="104"/>
      <c r="E710" s="109"/>
      <c r="F710" s="103"/>
      <c r="G710" s="110"/>
      <c r="H710" s="102"/>
      <c r="I710" s="111"/>
      <c r="J710" s="104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</row>
    <row r="711" spans="1:26" ht="12.75" customHeight="1" x14ac:dyDescent="0.3">
      <c r="A711" s="103"/>
      <c r="B711" s="108"/>
      <c r="C711" s="107"/>
      <c r="D711" s="104"/>
      <c r="E711" s="109"/>
      <c r="F711" s="103"/>
      <c r="G711" s="110"/>
      <c r="H711" s="102"/>
      <c r="I711" s="111"/>
      <c r="J711" s="104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</row>
    <row r="712" spans="1:26" ht="12.75" customHeight="1" x14ac:dyDescent="0.3">
      <c r="A712" s="103"/>
      <c r="B712" s="108"/>
      <c r="C712" s="107"/>
      <c r="D712" s="104"/>
      <c r="E712" s="109"/>
      <c r="F712" s="103"/>
      <c r="G712" s="110"/>
      <c r="H712" s="102"/>
      <c r="I712" s="111"/>
      <c r="J712" s="104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</row>
    <row r="713" spans="1:26" ht="12.75" customHeight="1" x14ac:dyDescent="0.3">
      <c r="A713" s="103"/>
      <c r="B713" s="108"/>
      <c r="C713" s="107"/>
      <c r="D713" s="104"/>
      <c r="E713" s="109"/>
      <c r="F713" s="103"/>
      <c r="G713" s="110"/>
      <c r="H713" s="102"/>
      <c r="I713" s="111"/>
      <c r="J713" s="104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</row>
    <row r="714" spans="1:26" ht="12.75" customHeight="1" x14ac:dyDescent="0.3">
      <c r="A714" s="103"/>
      <c r="B714" s="108"/>
      <c r="C714" s="107"/>
      <c r="D714" s="104"/>
      <c r="E714" s="109"/>
      <c r="F714" s="103"/>
      <c r="G714" s="110"/>
      <c r="H714" s="102"/>
      <c r="I714" s="111"/>
      <c r="J714" s="104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</row>
    <row r="715" spans="1:26" ht="12.75" customHeight="1" x14ac:dyDescent="0.3">
      <c r="A715" s="103"/>
      <c r="B715" s="108"/>
      <c r="C715" s="107"/>
      <c r="D715" s="104"/>
      <c r="E715" s="109"/>
      <c r="F715" s="103"/>
      <c r="G715" s="110"/>
      <c r="H715" s="102"/>
      <c r="I715" s="111"/>
      <c r="J715" s="104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</row>
    <row r="716" spans="1:26" ht="12.75" customHeight="1" x14ac:dyDescent="0.3">
      <c r="A716" s="103"/>
      <c r="B716" s="108"/>
      <c r="C716" s="107"/>
      <c r="D716" s="104"/>
      <c r="E716" s="109"/>
      <c r="F716" s="103"/>
      <c r="G716" s="110"/>
      <c r="H716" s="102"/>
      <c r="I716" s="111"/>
      <c r="J716" s="104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</row>
    <row r="717" spans="1:26" ht="12.75" customHeight="1" x14ac:dyDescent="0.3">
      <c r="A717" s="103"/>
      <c r="B717" s="108"/>
      <c r="C717" s="107"/>
      <c r="D717" s="104"/>
      <c r="E717" s="109"/>
      <c r="F717" s="103"/>
      <c r="G717" s="110"/>
      <c r="H717" s="102"/>
      <c r="I717" s="111"/>
      <c r="J717" s="104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</row>
    <row r="718" spans="1:26" ht="12.75" customHeight="1" x14ac:dyDescent="0.3">
      <c r="A718" s="103"/>
      <c r="B718" s="108"/>
      <c r="C718" s="107"/>
      <c r="D718" s="104"/>
      <c r="E718" s="109"/>
      <c r="F718" s="103"/>
      <c r="G718" s="110"/>
      <c r="H718" s="102"/>
      <c r="I718" s="111"/>
      <c r="J718" s="104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</row>
    <row r="719" spans="1:26" ht="12.75" customHeight="1" x14ac:dyDescent="0.3">
      <c r="A719" s="103"/>
      <c r="B719" s="108"/>
      <c r="C719" s="107"/>
      <c r="D719" s="104"/>
      <c r="E719" s="109"/>
      <c r="F719" s="103"/>
      <c r="G719" s="110"/>
      <c r="H719" s="102"/>
      <c r="I719" s="111"/>
      <c r="J719" s="104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</row>
    <row r="720" spans="1:26" ht="12.75" customHeight="1" x14ac:dyDescent="0.3">
      <c r="A720" s="103"/>
      <c r="B720" s="108"/>
      <c r="C720" s="107"/>
      <c r="D720" s="104"/>
      <c r="E720" s="109"/>
      <c r="F720" s="103"/>
      <c r="G720" s="110"/>
      <c r="H720" s="102"/>
      <c r="I720" s="111"/>
      <c r="J720" s="104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</row>
    <row r="721" spans="1:26" ht="12.75" customHeight="1" x14ac:dyDescent="0.3">
      <c r="A721" s="103"/>
      <c r="B721" s="108"/>
      <c r="C721" s="107"/>
      <c r="D721" s="104"/>
      <c r="E721" s="109"/>
      <c r="F721" s="103"/>
      <c r="G721" s="110"/>
      <c r="H721" s="102"/>
      <c r="I721" s="111"/>
      <c r="J721" s="104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</row>
    <row r="722" spans="1:26" ht="12.75" customHeight="1" x14ac:dyDescent="0.3">
      <c r="A722" s="103"/>
      <c r="B722" s="108"/>
      <c r="C722" s="107"/>
      <c r="D722" s="104"/>
      <c r="E722" s="109"/>
      <c r="F722" s="103"/>
      <c r="G722" s="110"/>
      <c r="H722" s="102"/>
      <c r="I722" s="111"/>
      <c r="J722" s="104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</row>
    <row r="723" spans="1:26" ht="12.75" customHeight="1" x14ac:dyDescent="0.3">
      <c r="A723" s="103"/>
      <c r="B723" s="108"/>
      <c r="C723" s="107"/>
      <c r="D723" s="104"/>
      <c r="E723" s="109"/>
      <c r="F723" s="103"/>
      <c r="G723" s="110"/>
      <c r="H723" s="102"/>
      <c r="I723" s="111"/>
      <c r="J723" s="104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</row>
    <row r="724" spans="1:26" ht="12.75" customHeight="1" x14ac:dyDescent="0.3">
      <c r="A724" s="103"/>
      <c r="B724" s="108"/>
      <c r="C724" s="107"/>
      <c r="D724" s="104"/>
      <c r="E724" s="109"/>
      <c r="F724" s="103"/>
      <c r="G724" s="110"/>
      <c r="H724" s="102"/>
      <c r="I724" s="111"/>
      <c r="J724" s="104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</row>
    <row r="725" spans="1:26" ht="12.75" customHeight="1" x14ac:dyDescent="0.3">
      <c r="A725" s="103"/>
      <c r="B725" s="108"/>
      <c r="C725" s="107"/>
      <c r="D725" s="104"/>
      <c r="E725" s="109"/>
      <c r="F725" s="103"/>
      <c r="G725" s="110"/>
      <c r="H725" s="102"/>
      <c r="I725" s="111"/>
      <c r="J725" s="104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</row>
    <row r="726" spans="1:26" ht="12.75" customHeight="1" x14ac:dyDescent="0.3">
      <c r="A726" s="103"/>
      <c r="B726" s="108"/>
      <c r="C726" s="107"/>
      <c r="D726" s="104"/>
      <c r="E726" s="109"/>
      <c r="F726" s="103"/>
      <c r="G726" s="110"/>
      <c r="H726" s="102"/>
      <c r="I726" s="111"/>
      <c r="J726" s="104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</row>
    <row r="727" spans="1:26" ht="12.75" customHeight="1" x14ac:dyDescent="0.3">
      <c r="A727" s="103"/>
      <c r="B727" s="108"/>
      <c r="C727" s="107"/>
      <c r="D727" s="104"/>
      <c r="E727" s="109"/>
      <c r="F727" s="103"/>
      <c r="G727" s="110"/>
      <c r="H727" s="102"/>
      <c r="I727" s="111"/>
      <c r="J727" s="104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</row>
    <row r="728" spans="1:26" ht="12.75" customHeight="1" x14ac:dyDescent="0.3">
      <c r="A728" s="103"/>
      <c r="B728" s="108"/>
      <c r="C728" s="107"/>
      <c r="D728" s="104"/>
      <c r="E728" s="109"/>
      <c r="F728" s="103"/>
      <c r="G728" s="110"/>
      <c r="H728" s="102"/>
      <c r="I728" s="111"/>
      <c r="J728" s="104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</row>
    <row r="729" spans="1:26" ht="12.75" customHeight="1" x14ac:dyDescent="0.3">
      <c r="A729" s="103"/>
      <c r="B729" s="108"/>
      <c r="C729" s="107"/>
      <c r="D729" s="104"/>
      <c r="E729" s="109"/>
      <c r="F729" s="103"/>
      <c r="G729" s="110"/>
      <c r="H729" s="102"/>
      <c r="I729" s="111"/>
      <c r="J729" s="104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</row>
    <row r="730" spans="1:26" ht="12.75" customHeight="1" x14ac:dyDescent="0.3">
      <c r="A730" s="103"/>
      <c r="B730" s="108"/>
      <c r="C730" s="107"/>
      <c r="D730" s="104"/>
      <c r="E730" s="109"/>
      <c r="F730" s="103"/>
      <c r="G730" s="110"/>
      <c r="H730" s="102"/>
      <c r="I730" s="111"/>
      <c r="J730" s="104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</row>
    <row r="731" spans="1:26" ht="12.75" customHeight="1" x14ac:dyDescent="0.3">
      <c r="A731" s="103"/>
      <c r="B731" s="108"/>
      <c r="C731" s="107"/>
      <c r="D731" s="104"/>
      <c r="E731" s="109"/>
      <c r="F731" s="103"/>
      <c r="G731" s="110"/>
      <c r="H731" s="102"/>
      <c r="I731" s="111"/>
      <c r="J731" s="104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</row>
    <row r="732" spans="1:26" ht="12.75" customHeight="1" x14ac:dyDescent="0.3">
      <c r="A732" s="103"/>
      <c r="B732" s="108"/>
      <c r="C732" s="107"/>
      <c r="D732" s="104"/>
      <c r="E732" s="109"/>
      <c r="F732" s="103"/>
      <c r="G732" s="110"/>
      <c r="H732" s="102"/>
      <c r="I732" s="111"/>
      <c r="J732" s="104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</row>
    <row r="733" spans="1:26" ht="12.75" customHeight="1" x14ac:dyDescent="0.3">
      <c r="A733" s="103"/>
      <c r="B733" s="108"/>
      <c r="C733" s="107"/>
      <c r="D733" s="104"/>
      <c r="E733" s="109"/>
      <c r="F733" s="103"/>
      <c r="G733" s="110"/>
      <c r="H733" s="102"/>
      <c r="I733" s="111"/>
      <c r="J733" s="104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</row>
    <row r="734" spans="1:26" ht="12.75" customHeight="1" x14ac:dyDescent="0.3">
      <c r="A734" s="103"/>
      <c r="B734" s="108"/>
      <c r="C734" s="107"/>
      <c r="D734" s="104"/>
      <c r="E734" s="109"/>
      <c r="F734" s="103"/>
      <c r="G734" s="110"/>
      <c r="H734" s="102"/>
      <c r="I734" s="111"/>
      <c r="J734" s="104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</row>
    <row r="735" spans="1:26" ht="12.75" customHeight="1" x14ac:dyDescent="0.3">
      <c r="A735" s="103"/>
      <c r="B735" s="108"/>
      <c r="C735" s="107"/>
      <c r="D735" s="104"/>
      <c r="E735" s="109"/>
      <c r="F735" s="103"/>
      <c r="G735" s="110"/>
      <c r="H735" s="102"/>
      <c r="I735" s="111"/>
      <c r="J735" s="104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</row>
    <row r="736" spans="1:26" ht="12.75" customHeight="1" x14ac:dyDescent="0.3">
      <c r="A736" s="103"/>
      <c r="B736" s="108"/>
      <c r="C736" s="107"/>
      <c r="D736" s="104"/>
      <c r="E736" s="109"/>
      <c r="F736" s="103"/>
      <c r="G736" s="110"/>
      <c r="H736" s="102"/>
      <c r="I736" s="111"/>
      <c r="J736" s="104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</row>
    <row r="737" spans="1:26" ht="12.75" customHeight="1" x14ac:dyDescent="0.3">
      <c r="A737" s="103"/>
      <c r="B737" s="108"/>
      <c r="C737" s="107"/>
      <c r="D737" s="104"/>
      <c r="E737" s="109"/>
      <c r="F737" s="103"/>
      <c r="G737" s="110"/>
      <c r="H737" s="102"/>
      <c r="I737" s="111"/>
      <c r="J737" s="104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</row>
    <row r="738" spans="1:26" ht="12.75" customHeight="1" x14ac:dyDescent="0.3">
      <c r="A738" s="103"/>
      <c r="B738" s="108"/>
      <c r="C738" s="107"/>
      <c r="D738" s="104"/>
      <c r="E738" s="109"/>
      <c r="F738" s="103"/>
      <c r="G738" s="110"/>
      <c r="H738" s="102"/>
      <c r="I738" s="111"/>
      <c r="J738" s="104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</row>
    <row r="739" spans="1:26" ht="12.75" customHeight="1" x14ac:dyDescent="0.3">
      <c r="A739" s="103"/>
      <c r="B739" s="108"/>
      <c r="C739" s="107"/>
      <c r="D739" s="104"/>
      <c r="E739" s="109"/>
      <c r="F739" s="103"/>
      <c r="G739" s="110"/>
      <c r="H739" s="102"/>
      <c r="I739" s="111"/>
      <c r="J739" s="104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</row>
    <row r="740" spans="1:26" ht="12.75" customHeight="1" x14ac:dyDescent="0.3">
      <c r="A740" s="103"/>
      <c r="B740" s="108"/>
      <c r="C740" s="107"/>
      <c r="D740" s="104"/>
      <c r="E740" s="109"/>
      <c r="F740" s="103"/>
      <c r="G740" s="110"/>
      <c r="H740" s="102"/>
      <c r="I740" s="111"/>
      <c r="J740" s="104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</row>
    <row r="741" spans="1:26" ht="12.75" customHeight="1" x14ac:dyDescent="0.3">
      <c r="A741" s="103"/>
      <c r="B741" s="108"/>
      <c r="C741" s="107"/>
      <c r="D741" s="104"/>
      <c r="E741" s="109"/>
      <c r="F741" s="103"/>
      <c r="G741" s="110"/>
      <c r="H741" s="102"/>
      <c r="I741" s="111"/>
      <c r="J741" s="104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</row>
    <row r="742" spans="1:26" ht="12.75" customHeight="1" x14ac:dyDescent="0.3">
      <c r="A742" s="103"/>
      <c r="B742" s="108"/>
      <c r="C742" s="107"/>
      <c r="D742" s="104"/>
      <c r="E742" s="109"/>
      <c r="F742" s="103"/>
      <c r="G742" s="110"/>
      <c r="H742" s="102"/>
      <c r="I742" s="111"/>
      <c r="J742" s="104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</row>
    <row r="743" spans="1:26" ht="12.75" customHeight="1" x14ac:dyDescent="0.3">
      <c r="A743" s="103"/>
      <c r="B743" s="108"/>
      <c r="C743" s="107"/>
      <c r="D743" s="104"/>
      <c r="E743" s="109"/>
      <c r="F743" s="103"/>
      <c r="G743" s="110"/>
      <c r="H743" s="102"/>
      <c r="I743" s="111"/>
      <c r="J743" s="104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</row>
    <row r="744" spans="1:26" ht="12.75" customHeight="1" x14ac:dyDescent="0.3">
      <c r="A744" s="103"/>
      <c r="B744" s="108"/>
      <c r="C744" s="107"/>
      <c r="D744" s="104"/>
      <c r="E744" s="109"/>
      <c r="F744" s="103"/>
      <c r="G744" s="110"/>
      <c r="H744" s="102"/>
      <c r="I744" s="111"/>
      <c r="J744" s="104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</row>
    <row r="745" spans="1:26" ht="12.75" customHeight="1" x14ac:dyDescent="0.3">
      <c r="A745" s="103"/>
      <c r="B745" s="108"/>
      <c r="C745" s="107"/>
      <c r="D745" s="104"/>
      <c r="E745" s="109"/>
      <c r="F745" s="103"/>
      <c r="G745" s="110"/>
      <c r="H745" s="102"/>
      <c r="I745" s="111"/>
      <c r="J745" s="104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</row>
    <row r="746" spans="1:26" ht="12.75" customHeight="1" x14ac:dyDescent="0.3">
      <c r="A746" s="103"/>
      <c r="B746" s="108"/>
      <c r="C746" s="107"/>
      <c r="D746" s="104"/>
      <c r="E746" s="109"/>
      <c r="F746" s="103"/>
      <c r="G746" s="110"/>
      <c r="H746" s="102"/>
      <c r="I746" s="111"/>
      <c r="J746" s="104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</row>
    <row r="747" spans="1:26" ht="12.75" customHeight="1" x14ac:dyDescent="0.3">
      <c r="A747" s="103"/>
      <c r="B747" s="108"/>
      <c r="C747" s="107"/>
      <c r="D747" s="104"/>
      <c r="E747" s="109"/>
      <c r="F747" s="103"/>
      <c r="G747" s="110"/>
      <c r="H747" s="102"/>
      <c r="I747" s="111"/>
      <c r="J747" s="104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</row>
    <row r="748" spans="1:26" ht="12.75" customHeight="1" x14ac:dyDescent="0.3">
      <c r="A748" s="103"/>
      <c r="B748" s="108"/>
      <c r="C748" s="107"/>
      <c r="D748" s="104"/>
      <c r="E748" s="109"/>
      <c r="F748" s="103"/>
      <c r="G748" s="110"/>
      <c r="H748" s="102"/>
      <c r="I748" s="111"/>
      <c r="J748" s="104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</row>
    <row r="749" spans="1:26" ht="12.75" customHeight="1" x14ac:dyDescent="0.3">
      <c r="A749" s="103"/>
      <c r="B749" s="108"/>
      <c r="C749" s="107"/>
      <c r="D749" s="104"/>
      <c r="E749" s="109"/>
      <c r="F749" s="103"/>
      <c r="G749" s="110"/>
      <c r="H749" s="102"/>
      <c r="I749" s="111"/>
      <c r="J749" s="104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</row>
    <row r="750" spans="1:26" ht="12.75" customHeight="1" x14ac:dyDescent="0.3">
      <c r="A750" s="103"/>
      <c r="B750" s="108"/>
      <c r="C750" s="107"/>
      <c r="D750" s="104"/>
      <c r="E750" s="109"/>
      <c r="F750" s="103"/>
      <c r="G750" s="110"/>
      <c r="H750" s="102"/>
      <c r="I750" s="111"/>
      <c r="J750" s="104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</row>
    <row r="751" spans="1:26" ht="12.75" customHeight="1" x14ac:dyDescent="0.3">
      <c r="A751" s="103"/>
      <c r="B751" s="108"/>
      <c r="C751" s="107"/>
      <c r="D751" s="104"/>
      <c r="E751" s="109"/>
      <c r="F751" s="103"/>
      <c r="G751" s="110"/>
      <c r="H751" s="102"/>
      <c r="I751" s="111"/>
      <c r="J751" s="104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</row>
    <row r="752" spans="1:26" ht="12.75" customHeight="1" x14ac:dyDescent="0.3">
      <c r="A752" s="103"/>
      <c r="B752" s="108"/>
      <c r="C752" s="107"/>
      <c r="D752" s="104"/>
      <c r="E752" s="109"/>
      <c r="F752" s="103"/>
      <c r="G752" s="110"/>
      <c r="H752" s="102"/>
      <c r="I752" s="111"/>
      <c r="J752" s="104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</row>
    <row r="753" spans="1:26" ht="12.75" customHeight="1" x14ac:dyDescent="0.3">
      <c r="A753" s="103"/>
      <c r="B753" s="108"/>
      <c r="C753" s="107"/>
      <c r="D753" s="104"/>
      <c r="E753" s="109"/>
      <c r="F753" s="103"/>
      <c r="G753" s="110"/>
      <c r="H753" s="102"/>
      <c r="I753" s="111"/>
      <c r="J753" s="104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</row>
    <row r="754" spans="1:26" ht="12.75" customHeight="1" x14ac:dyDescent="0.3">
      <c r="A754" s="103"/>
      <c r="B754" s="108"/>
      <c r="C754" s="107"/>
      <c r="D754" s="104"/>
      <c r="E754" s="109"/>
      <c r="F754" s="103"/>
      <c r="G754" s="110"/>
      <c r="H754" s="102"/>
      <c r="I754" s="111"/>
      <c r="J754" s="104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</row>
    <row r="755" spans="1:26" ht="12.75" customHeight="1" x14ac:dyDescent="0.3">
      <c r="A755" s="103"/>
      <c r="B755" s="108"/>
      <c r="C755" s="107"/>
      <c r="D755" s="104"/>
      <c r="E755" s="109"/>
      <c r="F755" s="103"/>
      <c r="G755" s="110"/>
      <c r="H755" s="102"/>
      <c r="I755" s="111"/>
      <c r="J755" s="104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</row>
    <row r="756" spans="1:26" ht="12.75" customHeight="1" x14ac:dyDescent="0.3">
      <c r="A756" s="103"/>
      <c r="B756" s="108"/>
      <c r="C756" s="107"/>
      <c r="D756" s="104"/>
      <c r="E756" s="109"/>
      <c r="F756" s="103"/>
      <c r="G756" s="110"/>
      <c r="H756" s="102"/>
      <c r="I756" s="111"/>
      <c r="J756" s="104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</row>
    <row r="757" spans="1:26" ht="12.75" customHeight="1" x14ac:dyDescent="0.3">
      <c r="A757" s="103"/>
      <c r="B757" s="108"/>
      <c r="C757" s="107"/>
      <c r="D757" s="104"/>
      <c r="E757" s="109"/>
      <c r="F757" s="103"/>
      <c r="G757" s="110"/>
      <c r="H757" s="102"/>
      <c r="I757" s="111"/>
      <c r="J757" s="104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</row>
    <row r="758" spans="1:26" ht="12.75" customHeight="1" x14ac:dyDescent="0.3">
      <c r="A758" s="103"/>
      <c r="B758" s="108"/>
      <c r="C758" s="107"/>
      <c r="D758" s="104"/>
      <c r="E758" s="109"/>
      <c r="F758" s="103"/>
      <c r="G758" s="110"/>
      <c r="H758" s="102"/>
      <c r="I758" s="111"/>
      <c r="J758" s="104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</row>
    <row r="759" spans="1:26" ht="12.75" customHeight="1" x14ac:dyDescent="0.3">
      <c r="A759" s="103"/>
      <c r="B759" s="108"/>
      <c r="C759" s="107"/>
      <c r="D759" s="104"/>
      <c r="E759" s="109"/>
      <c r="F759" s="103"/>
      <c r="G759" s="110"/>
      <c r="H759" s="102"/>
      <c r="I759" s="111"/>
      <c r="J759" s="104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</row>
    <row r="760" spans="1:26" ht="12.75" customHeight="1" x14ac:dyDescent="0.3">
      <c r="A760" s="103"/>
      <c r="B760" s="108"/>
      <c r="C760" s="107"/>
      <c r="D760" s="104"/>
      <c r="E760" s="109"/>
      <c r="F760" s="103"/>
      <c r="G760" s="110"/>
      <c r="H760" s="102"/>
      <c r="I760" s="111"/>
      <c r="J760" s="104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</row>
    <row r="761" spans="1:26" ht="12.75" customHeight="1" x14ac:dyDescent="0.3">
      <c r="A761" s="103"/>
      <c r="B761" s="108"/>
      <c r="C761" s="107"/>
      <c r="D761" s="104"/>
      <c r="E761" s="109"/>
      <c r="F761" s="103"/>
      <c r="G761" s="110"/>
      <c r="H761" s="102"/>
      <c r="I761" s="111"/>
      <c r="J761" s="104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</row>
    <row r="762" spans="1:26" ht="12.75" customHeight="1" x14ac:dyDescent="0.3">
      <c r="A762" s="103"/>
      <c r="B762" s="108"/>
      <c r="C762" s="107"/>
      <c r="D762" s="104"/>
      <c r="E762" s="109"/>
      <c r="F762" s="103"/>
      <c r="G762" s="110"/>
      <c r="H762" s="102"/>
      <c r="I762" s="111"/>
      <c r="J762" s="104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</row>
    <row r="763" spans="1:26" ht="12.75" customHeight="1" x14ac:dyDescent="0.3">
      <c r="A763" s="103"/>
      <c r="B763" s="108"/>
      <c r="C763" s="107"/>
      <c r="D763" s="104"/>
      <c r="E763" s="109"/>
      <c r="F763" s="103"/>
      <c r="G763" s="110"/>
      <c r="H763" s="102"/>
      <c r="I763" s="111"/>
      <c r="J763" s="104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</row>
    <row r="764" spans="1:26" ht="12.75" customHeight="1" x14ac:dyDescent="0.3">
      <c r="A764" s="103"/>
      <c r="B764" s="108"/>
      <c r="C764" s="107"/>
      <c r="D764" s="104"/>
      <c r="E764" s="109"/>
      <c r="F764" s="103"/>
      <c r="G764" s="110"/>
      <c r="H764" s="102"/>
      <c r="I764" s="111"/>
      <c r="J764" s="104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</row>
    <row r="765" spans="1:26" ht="12.75" customHeight="1" x14ac:dyDescent="0.3">
      <c r="A765" s="103"/>
      <c r="B765" s="108"/>
      <c r="C765" s="107"/>
      <c r="D765" s="104"/>
      <c r="E765" s="109"/>
      <c r="F765" s="103"/>
      <c r="G765" s="110"/>
      <c r="H765" s="102"/>
      <c r="I765" s="111"/>
      <c r="J765" s="104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</row>
    <row r="766" spans="1:26" ht="12.75" customHeight="1" x14ac:dyDescent="0.3">
      <c r="A766" s="103"/>
      <c r="B766" s="108"/>
      <c r="C766" s="107"/>
      <c r="D766" s="104"/>
      <c r="E766" s="109"/>
      <c r="F766" s="103"/>
      <c r="G766" s="110"/>
      <c r="H766" s="102"/>
      <c r="I766" s="111"/>
      <c r="J766" s="104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</row>
    <row r="767" spans="1:26" ht="12.75" customHeight="1" x14ac:dyDescent="0.3">
      <c r="A767" s="103"/>
      <c r="B767" s="108"/>
      <c r="C767" s="107"/>
      <c r="D767" s="104"/>
      <c r="E767" s="109"/>
      <c r="F767" s="103"/>
      <c r="G767" s="110"/>
      <c r="H767" s="102"/>
      <c r="I767" s="111"/>
      <c r="J767" s="104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</row>
    <row r="768" spans="1:26" ht="12.75" customHeight="1" x14ac:dyDescent="0.3">
      <c r="A768" s="103"/>
      <c r="B768" s="108"/>
      <c r="C768" s="107"/>
      <c r="D768" s="104"/>
      <c r="E768" s="109"/>
      <c r="F768" s="103"/>
      <c r="G768" s="110"/>
      <c r="H768" s="102"/>
      <c r="I768" s="111"/>
      <c r="J768" s="104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</row>
    <row r="769" spans="1:26" ht="12.75" customHeight="1" x14ac:dyDescent="0.3">
      <c r="A769" s="103"/>
      <c r="B769" s="108"/>
      <c r="C769" s="107"/>
      <c r="D769" s="104"/>
      <c r="E769" s="109"/>
      <c r="F769" s="103"/>
      <c r="G769" s="110"/>
      <c r="H769" s="102"/>
      <c r="I769" s="111"/>
      <c r="J769" s="104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</row>
    <row r="770" spans="1:26" ht="12.75" customHeight="1" x14ac:dyDescent="0.3">
      <c r="A770" s="103"/>
      <c r="B770" s="108"/>
      <c r="C770" s="107"/>
      <c r="D770" s="104"/>
      <c r="E770" s="109"/>
      <c r="F770" s="103"/>
      <c r="G770" s="110"/>
      <c r="H770" s="102"/>
      <c r="I770" s="111"/>
      <c r="J770" s="104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</row>
    <row r="771" spans="1:26" ht="12.75" customHeight="1" x14ac:dyDescent="0.3">
      <c r="A771" s="103"/>
      <c r="B771" s="108"/>
      <c r="C771" s="107"/>
      <c r="D771" s="104"/>
      <c r="E771" s="109"/>
      <c r="F771" s="103"/>
      <c r="G771" s="110"/>
      <c r="H771" s="102"/>
      <c r="I771" s="111"/>
      <c r="J771" s="104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</row>
    <row r="772" spans="1:26" ht="12.75" customHeight="1" x14ac:dyDescent="0.3">
      <c r="A772" s="103"/>
      <c r="B772" s="108"/>
      <c r="C772" s="107"/>
      <c r="D772" s="104"/>
      <c r="E772" s="109"/>
      <c r="F772" s="103"/>
      <c r="G772" s="110"/>
      <c r="H772" s="102"/>
      <c r="I772" s="111"/>
      <c r="J772" s="104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</row>
    <row r="773" spans="1:26" ht="12.75" customHeight="1" x14ac:dyDescent="0.3">
      <c r="A773" s="103"/>
      <c r="B773" s="108"/>
      <c r="C773" s="107"/>
      <c r="D773" s="104"/>
      <c r="E773" s="109"/>
      <c r="F773" s="103"/>
      <c r="G773" s="110"/>
      <c r="H773" s="102"/>
      <c r="I773" s="111"/>
      <c r="J773" s="104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</row>
    <row r="774" spans="1:26" ht="12.75" customHeight="1" x14ac:dyDescent="0.3">
      <c r="A774" s="103"/>
      <c r="B774" s="108"/>
      <c r="C774" s="107"/>
      <c r="D774" s="104"/>
      <c r="E774" s="109"/>
      <c r="F774" s="103"/>
      <c r="G774" s="110"/>
      <c r="H774" s="102"/>
      <c r="I774" s="111"/>
      <c r="J774" s="104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</row>
    <row r="775" spans="1:26" ht="12.75" customHeight="1" x14ac:dyDescent="0.3">
      <c r="A775" s="103"/>
      <c r="B775" s="108"/>
      <c r="C775" s="107"/>
      <c r="D775" s="104"/>
      <c r="E775" s="109"/>
      <c r="F775" s="103"/>
      <c r="G775" s="110"/>
      <c r="H775" s="102"/>
      <c r="I775" s="111"/>
      <c r="J775" s="104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</row>
    <row r="776" spans="1:26" ht="12.75" customHeight="1" x14ac:dyDescent="0.3">
      <c r="A776" s="103"/>
      <c r="B776" s="108"/>
      <c r="C776" s="107"/>
      <c r="D776" s="104"/>
      <c r="E776" s="109"/>
      <c r="F776" s="103"/>
      <c r="G776" s="110"/>
      <c r="H776" s="102"/>
      <c r="I776" s="111"/>
      <c r="J776" s="104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</row>
    <row r="777" spans="1:26" ht="12.75" customHeight="1" x14ac:dyDescent="0.3">
      <c r="A777" s="103"/>
      <c r="B777" s="108"/>
      <c r="C777" s="107"/>
      <c r="D777" s="104"/>
      <c r="E777" s="109"/>
      <c r="F777" s="103"/>
      <c r="G777" s="110"/>
      <c r="H777" s="102"/>
      <c r="I777" s="111"/>
      <c r="J777" s="104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</row>
    <row r="778" spans="1:26" ht="12.75" customHeight="1" x14ac:dyDescent="0.3">
      <c r="A778" s="103"/>
      <c r="B778" s="108"/>
      <c r="C778" s="107"/>
      <c r="D778" s="104"/>
      <c r="E778" s="109"/>
      <c r="F778" s="103"/>
      <c r="G778" s="110"/>
      <c r="H778" s="102"/>
      <c r="I778" s="111"/>
      <c r="J778" s="104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</row>
    <row r="779" spans="1:26" ht="12.75" customHeight="1" x14ac:dyDescent="0.3">
      <c r="A779" s="103"/>
      <c r="B779" s="108"/>
      <c r="C779" s="107"/>
      <c r="D779" s="104"/>
      <c r="E779" s="109"/>
      <c r="F779" s="103"/>
      <c r="G779" s="110"/>
      <c r="H779" s="102"/>
      <c r="I779" s="111"/>
      <c r="J779" s="104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</row>
    <row r="780" spans="1:26" ht="12.75" customHeight="1" x14ac:dyDescent="0.3">
      <c r="A780" s="103"/>
      <c r="B780" s="108"/>
      <c r="C780" s="107"/>
      <c r="D780" s="104"/>
      <c r="E780" s="109"/>
      <c r="F780" s="103"/>
      <c r="G780" s="110"/>
      <c r="H780" s="102"/>
      <c r="I780" s="111"/>
      <c r="J780" s="104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</row>
    <row r="781" spans="1:26" ht="12.75" customHeight="1" x14ac:dyDescent="0.3">
      <c r="A781" s="103"/>
      <c r="B781" s="108"/>
      <c r="C781" s="107"/>
      <c r="D781" s="104"/>
      <c r="E781" s="109"/>
      <c r="F781" s="103"/>
      <c r="G781" s="110"/>
      <c r="H781" s="102"/>
      <c r="I781" s="111"/>
      <c r="J781" s="104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</row>
    <row r="782" spans="1:26" ht="12.75" customHeight="1" x14ac:dyDescent="0.3">
      <c r="A782" s="103"/>
      <c r="B782" s="108"/>
      <c r="C782" s="107"/>
      <c r="D782" s="104"/>
      <c r="E782" s="109"/>
      <c r="F782" s="103"/>
      <c r="G782" s="110"/>
      <c r="H782" s="102"/>
      <c r="I782" s="111"/>
      <c r="J782" s="104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</row>
    <row r="783" spans="1:26" ht="12.75" customHeight="1" x14ac:dyDescent="0.3">
      <c r="A783" s="103"/>
      <c r="B783" s="108"/>
      <c r="C783" s="107"/>
      <c r="D783" s="104"/>
      <c r="E783" s="109"/>
      <c r="F783" s="103"/>
      <c r="G783" s="110"/>
      <c r="H783" s="102"/>
      <c r="I783" s="111"/>
      <c r="J783" s="104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</row>
    <row r="784" spans="1:26" ht="12.75" customHeight="1" x14ac:dyDescent="0.3">
      <c r="A784" s="103"/>
      <c r="B784" s="108"/>
      <c r="C784" s="107"/>
      <c r="D784" s="104"/>
      <c r="E784" s="109"/>
      <c r="F784" s="103"/>
      <c r="G784" s="110"/>
      <c r="H784" s="102"/>
      <c r="I784" s="111"/>
      <c r="J784" s="104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</row>
    <row r="785" spans="1:26" ht="12.75" customHeight="1" x14ac:dyDescent="0.3">
      <c r="A785" s="103"/>
      <c r="B785" s="108"/>
      <c r="C785" s="107"/>
      <c r="D785" s="104"/>
      <c r="E785" s="109"/>
      <c r="F785" s="103"/>
      <c r="G785" s="110"/>
      <c r="H785" s="102"/>
      <c r="I785" s="111"/>
      <c r="J785" s="104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</row>
    <row r="786" spans="1:26" ht="12.75" customHeight="1" x14ac:dyDescent="0.3">
      <c r="A786" s="103"/>
      <c r="B786" s="108"/>
      <c r="C786" s="107"/>
      <c r="D786" s="104"/>
      <c r="E786" s="109"/>
      <c r="F786" s="103"/>
      <c r="G786" s="110"/>
      <c r="H786" s="102"/>
      <c r="I786" s="111"/>
      <c r="J786" s="104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</row>
    <row r="787" spans="1:26" ht="12.75" customHeight="1" x14ac:dyDescent="0.3">
      <c r="A787" s="103"/>
      <c r="B787" s="108"/>
      <c r="C787" s="107"/>
      <c r="D787" s="104"/>
      <c r="E787" s="109"/>
      <c r="F787" s="103"/>
      <c r="G787" s="110"/>
      <c r="H787" s="102"/>
      <c r="I787" s="111"/>
      <c r="J787" s="104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</row>
    <row r="788" spans="1:26" ht="12.75" customHeight="1" x14ac:dyDescent="0.3">
      <c r="A788" s="103"/>
      <c r="B788" s="108"/>
      <c r="C788" s="107"/>
      <c r="D788" s="104"/>
      <c r="E788" s="109"/>
      <c r="F788" s="103"/>
      <c r="G788" s="110"/>
      <c r="H788" s="102"/>
      <c r="I788" s="111"/>
      <c r="J788" s="104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</row>
    <row r="789" spans="1:26" ht="12.75" customHeight="1" x14ac:dyDescent="0.3">
      <c r="A789" s="103"/>
      <c r="B789" s="108"/>
      <c r="C789" s="107"/>
      <c r="D789" s="104"/>
      <c r="E789" s="109"/>
      <c r="F789" s="103"/>
      <c r="G789" s="110"/>
      <c r="H789" s="102"/>
      <c r="I789" s="111"/>
      <c r="J789" s="104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</row>
    <row r="790" spans="1:26" ht="12.75" customHeight="1" x14ac:dyDescent="0.3">
      <c r="A790" s="103"/>
      <c r="B790" s="108"/>
      <c r="C790" s="107"/>
      <c r="D790" s="104"/>
      <c r="E790" s="109"/>
      <c r="F790" s="103"/>
      <c r="G790" s="110"/>
      <c r="H790" s="102"/>
      <c r="I790" s="111"/>
      <c r="J790" s="104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</row>
    <row r="791" spans="1:26" ht="12.75" customHeight="1" x14ac:dyDescent="0.3">
      <c r="A791" s="103"/>
      <c r="B791" s="108"/>
      <c r="C791" s="107"/>
      <c r="D791" s="104"/>
      <c r="E791" s="109"/>
      <c r="F791" s="103"/>
      <c r="G791" s="110"/>
      <c r="H791" s="102"/>
      <c r="I791" s="111"/>
      <c r="J791" s="104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</row>
    <row r="792" spans="1:26" ht="12.75" customHeight="1" x14ac:dyDescent="0.3">
      <c r="A792" s="103"/>
      <c r="B792" s="108"/>
      <c r="C792" s="107"/>
      <c r="D792" s="104"/>
      <c r="E792" s="109"/>
      <c r="F792" s="103"/>
      <c r="G792" s="110"/>
      <c r="H792" s="102"/>
      <c r="I792" s="111"/>
      <c r="J792" s="104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</row>
    <row r="793" spans="1:26" ht="12.75" customHeight="1" x14ac:dyDescent="0.3">
      <c r="A793" s="103"/>
      <c r="B793" s="108"/>
      <c r="C793" s="107"/>
      <c r="D793" s="104"/>
      <c r="E793" s="109"/>
      <c r="F793" s="103"/>
      <c r="G793" s="110"/>
      <c r="H793" s="102"/>
      <c r="I793" s="111"/>
      <c r="J793" s="104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</row>
    <row r="794" spans="1:26" ht="12.75" customHeight="1" x14ac:dyDescent="0.3">
      <c r="A794" s="103"/>
      <c r="B794" s="108"/>
      <c r="C794" s="107"/>
      <c r="D794" s="104"/>
      <c r="E794" s="109"/>
      <c r="F794" s="103"/>
      <c r="G794" s="110"/>
      <c r="H794" s="102"/>
      <c r="I794" s="111"/>
      <c r="J794" s="104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</row>
    <row r="795" spans="1:26" ht="12.75" customHeight="1" x14ac:dyDescent="0.3">
      <c r="A795" s="103"/>
      <c r="B795" s="108"/>
      <c r="C795" s="107"/>
      <c r="D795" s="104"/>
      <c r="E795" s="109"/>
      <c r="F795" s="103"/>
      <c r="G795" s="110"/>
      <c r="H795" s="102"/>
      <c r="I795" s="111"/>
      <c r="J795" s="104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</row>
    <row r="796" spans="1:26" ht="12.75" customHeight="1" x14ac:dyDescent="0.3">
      <c r="A796" s="103"/>
      <c r="B796" s="108"/>
      <c r="C796" s="107"/>
      <c r="D796" s="104"/>
      <c r="E796" s="109"/>
      <c r="F796" s="103"/>
      <c r="G796" s="110"/>
      <c r="H796" s="102"/>
      <c r="I796" s="111"/>
      <c r="J796" s="104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</row>
    <row r="797" spans="1:26" ht="12.75" customHeight="1" x14ac:dyDescent="0.3">
      <c r="A797" s="103"/>
      <c r="B797" s="108"/>
      <c r="C797" s="107"/>
      <c r="D797" s="104"/>
      <c r="E797" s="109"/>
      <c r="F797" s="103"/>
      <c r="G797" s="110"/>
      <c r="H797" s="102"/>
      <c r="I797" s="111"/>
      <c r="J797" s="104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</row>
    <row r="798" spans="1:26" ht="12.75" customHeight="1" x14ac:dyDescent="0.3">
      <c r="A798" s="103"/>
      <c r="B798" s="108"/>
      <c r="C798" s="107"/>
      <c r="D798" s="104"/>
      <c r="E798" s="109"/>
      <c r="F798" s="103"/>
      <c r="G798" s="110"/>
      <c r="H798" s="102"/>
      <c r="I798" s="111"/>
      <c r="J798" s="104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</row>
    <row r="799" spans="1:26" ht="12.75" customHeight="1" x14ac:dyDescent="0.3">
      <c r="A799" s="103"/>
      <c r="B799" s="108"/>
      <c r="C799" s="107"/>
      <c r="D799" s="104"/>
      <c r="E799" s="109"/>
      <c r="F799" s="103"/>
      <c r="G799" s="110"/>
      <c r="H799" s="102"/>
      <c r="I799" s="111"/>
      <c r="J799" s="104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</row>
    <row r="800" spans="1:26" ht="12.75" customHeight="1" x14ac:dyDescent="0.3">
      <c r="A800" s="103"/>
      <c r="B800" s="108"/>
      <c r="C800" s="107"/>
      <c r="D800" s="104"/>
      <c r="E800" s="109"/>
      <c r="F800" s="103"/>
      <c r="G800" s="110"/>
      <c r="H800" s="102"/>
      <c r="I800" s="111"/>
      <c r="J800" s="104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</row>
    <row r="801" spans="1:26" ht="12.75" customHeight="1" x14ac:dyDescent="0.3">
      <c r="A801" s="103"/>
      <c r="B801" s="108"/>
      <c r="C801" s="107"/>
      <c r="D801" s="104"/>
      <c r="E801" s="109"/>
      <c r="F801" s="103"/>
      <c r="G801" s="110"/>
      <c r="H801" s="102"/>
      <c r="I801" s="111"/>
      <c r="J801" s="104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</row>
    <row r="802" spans="1:26" ht="12.75" customHeight="1" x14ac:dyDescent="0.3">
      <c r="A802" s="103"/>
      <c r="B802" s="108"/>
      <c r="C802" s="107"/>
      <c r="D802" s="104"/>
      <c r="E802" s="109"/>
      <c r="F802" s="103"/>
      <c r="G802" s="110"/>
      <c r="H802" s="102"/>
      <c r="I802" s="111"/>
      <c r="J802" s="104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</row>
    <row r="803" spans="1:26" ht="12.75" customHeight="1" x14ac:dyDescent="0.3">
      <c r="A803" s="103"/>
      <c r="B803" s="108"/>
      <c r="C803" s="107"/>
      <c r="D803" s="104"/>
      <c r="E803" s="109"/>
      <c r="F803" s="103"/>
      <c r="G803" s="110"/>
      <c r="H803" s="102"/>
      <c r="I803" s="111"/>
      <c r="J803" s="104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</row>
    <row r="804" spans="1:26" ht="12.75" customHeight="1" x14ac:dyDescent="0.3">
      <c r="A804" s="103"/>
      <c r="B804" s="108"/>
      <c r="C804" s="107"/>
      <c r="D804" s="104"/>
      <c r="E804" s="109"/>
      <c r="F804" s="103"/>
      <c r="G804" s="110"/>
      <c r="H804" s="102"/>
      <c r="I804" s="111"/>
      <c r="J804" s="104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</row>
    <row r="805" spans="1:26" ht="12.75" customHeight="1" x14ac:dyDescent="0.3">
      <c r="A805" s="103"/>
      <c r="B805" s="108"/>
      <c r="C805" s="107"/>
      <c r="D805" s="104"/>
      <c r="E805" s="109"/>
      <c r="F805" s="103"/>
      <c r="G805" s="110"/>
      <c r="H805" s="102"/>
      <c r="I805" s="111"/>
      <c r="J805" s="104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</row>
    <row r="806" spans="1:26" ht="12.75" customHeight="1" x14ac:dyDescent="0.3">
      <c r="A806" s="103"/>
      <c r="B806" s="108"/>
      <c r="C806" s="107"/>
      <c r="D806" s="104"/>
      <c r="E806" s="109"/>
      <c r="F806" s="103"/>
      <c r="G806" s="110"/>
      <c r="H806" s="102"/>
      <c r="I806" s="111"/>
      <c r="J806" s="104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</row>
    <row r="807" spans="1:26" ht="12.75" customHeight="1" x14ac:dyDescent="0.3">
      <c r="A807" s="103"/>
      <c r="B807" s="108"/>
      <c r="C807" s="107"/>
      <c r="D807" s="104"/>
      <c r="E807" s="109"/>
      <c r="F807" s="103"/>
      <c r="G807" s="110"/>
      <c r="H807" s="102"/>
      <c r="I807" s="111"/>
      <c r="J807" s="104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</row>
    <row r="808" spans="1:26" ht="12.75" customHeight="1" x14ac:dyDescent="0.3">
      <c r="A808" s="103"/>
      <c r="B808" s="108"/>
      <c r="C808" s="107"/>
      <c r="D808" s="104"/>
      <c r="E808" s="109"/>
      <c r="F808" s="103"/>
      <c r="G808" s="110"/>
      <c r="H808" s="102"/>
      <c r="I808" s="111"/>
      <c r="J808" s="104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</row>
    <row r="809" spans="1:26" ht="12.75" customHeight="1" x14ac:dyDescent="0.3">
      <c r="A809" s="103"/>
      <c r="B809" s="108"/>
      <c r="C809" s="107"/>
      <c r="D809" s="104"/>
      <c r="E809" s="109"/>
      <c r="F809" s="103"/>
      <c r="G809" s="110"/>
      <c r="H809" s="102"/>
      <c r="I809" s="111"/>
      <c r="J809" s="104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</row>
    <row r="810" spans="1:26" ht="12.75" customHeight="1" x14ac:dyDescent="0.3">
      <c r="A810" s="103"/>
      <c r="B810" s="108"/>
      <c r="C810" s="107"/>
      <c r="D810" s="104"/>
      <c r="E810" s="109"/>
      <c r="F810" s="103"/>
      <c r="G810" s="110"/>
      <c r="H810" s="102"/>
      <c r="I810" s="111"/>
      <c r="J810" s="104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</row>
    <row r="811" spans="1:26" ht="12.75" customHeight="1" x14ac:dyDescent="0.3">
      <c r="A811" s="103"/>
      <c r="B811" s="108"/>
      <c r="C811" s="107"/>
      <c r="D811" s="104"/>
      <c r="E811" s="109"/>
      <c r="F811" s="103"/>
      <c r="G811" s="110"/>
      <c r="H811" s="102"/>
      <c r="I811" s="111"/>
      <c r="J811" s="104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</row>
    <row r="812" spans="1:26" ht="12.75" customHeight="1" x14ac:dyDescent="0.3">
      <c r="A812" s="103"/>
      <c r="B812" s="108"/>
      <c r="C812" s="107"/>
      <c r="D812" s="104"/>
      <c r="E812" s="109"/>
      <c r="F812" s="103"/>
      <c r="G812" s="110"/>
      <c r="H812" s="102"/>
      <c r="I812" s="111"/>
      <c r="J812" s="104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</row>
    <row r="813" spans="1:26" ht="12.75" customHeight="1" x14ac:dyDescent="0.3">
      <c r="A813" s="103"/>
      <c r="B813" s="108"/>
      <c r="C813" s="107"/>
      <c r="D813" s="104"/>
      <c r="E813" s="109"/>
      <c r="F813" s="103"/>
      <c r="G813" s="110"/>
      <c r="H813" s="102"/>
      <c r="I813" s="111"/>
      <c r="J813" s="104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</row>
    <row r="814" spans="1:26" ht="12.75" customHeight="1" x14ac:dyDescent="0.3">
      <c r="A814" s="103"/>
      <c r="B814" s="108"/>
      <c r="C814" s="107"/>
      <c r="D814" s="104"/>
      <c r="E814" s="109"/>
      <c r="F814" s="103"/>
      <c r="G814" s="110"/>
      <c r="H814" s="102"/>
      <c r="I814" s="111"/>
      <c r="J814" s="104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</row>
    <row r="815" spans="1:26" ht="12.75" customHeight="1" x14ac:dyDescent="0.3">
      <c r="A815" s="103"/>
      <c r="B815" s="108"/>
      <c r="C815" s="107"/>
      <c r="D815" s="104"/>
      <c r="E815" s="109"/>
      <c r="F815" s="103"/>
      <c r="G815" s="110"/>
      <c r="H815" s="102"/>
      <c r="I815" s="111"/>
      <c r="J815" s="104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</row>
    <row r="816" spans="1:26" ht="12.75" customHeight="1" x14ac:dyDescent="0.3">
      <c r="A816" s="103"/>
      <c r="B816" s="108"/>
      <c r="C816" s="107"/>
      <c r="D816" s="104"/>
      <c r="E816" s="109"/>
      <c r="F816" s="103"/>
      <c r="G816" s="110"/>
      <c r="H816" s="102"/>
      <c r="I816" s="111"/>
      <c r="J816" s="104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</row>
    <row r="817" spans="1:26" ht="12.75" customHeight="1" x14ac:dyDescent="0.3">
      <c r="A817" s="103"/>
      <c r="B817" s="108"/>
      <c r="C817" s="107"/>
      <c r="D817" s="104"/>
      <c r="E817" s="109"/>
      <c r="F817" s="103"/>
      <c r="G817" s="110"/>
      <c r="H817" s="102"/>
      <c r="I817" s="111"/>
      <c r="J817" s="104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</row>
    <row r="818" spans="1:26" ht="12.75" customHeight="1" x14ac:dyDescent="0.3">
      <c r="A818" s="103"/>
      <c r="B818" s="108"/>
      <c r="C818" s="107"/>
      <c r="D818" s="104"/>
      <c r="E818" s="109"/>
      <c r="F818" s="103"/>
      <c r="G818" s="110"/>
      <c r="H818" s="102"/>
      <c r="I818" s="111"/>
      <c r="J818" s="104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</row>
    <row r="819" spans="1:26" ht="12.75" customHeight="1" x14ac:dyDescent="0.3">
      <c r="A819" s="103"/>
      <c r="B819" s="108"/>
      <c r="C819" s="107"/>
      <c r="D819" s="104"/>
      <c r="E819" s="109"/>
      <c r="F819" s="103"/>
      <c r="G819" s="110"/>
      <c r="H819" s="102"/>
      <c r="I819" s="111"/>
      <c r="J819" s="104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</row>
    <row r="820" spans="1:26" ht="12.75" customHeight="1" x14ac:dyDescent="0.3">
      <c r="A820" s="103"/>
      <c r="B820" s="108"/>
      <c r="C820" s="107"/>
      <c r="D820" s="104"/>
      <c r="E820" s="109"/>
      <c r="F820" s="103"/>
      <c r="G820" s="110"/>
      <c r="H820" s="102"/>
      <c r="I820" s="111"/>
      <c r="J820" s="104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</row>
    <row r="821" spans="1:26" ht="12.75" customHeight="1" x14ac:dyDescent="0.3">
      <c r="A821" s="103"/>
      <c r="B821" s="108"/>
      <c r="C821" s="107"/>
      <c r="D821" s="104"/>
      <c r="E821" s="109"/>
      <c r="F821" s="103"/>
      <c r="G821" s="110"/>
      <c r="H821" s="102"/>
      <c r="I821" s="111"/>
      <c r="J821" s="104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</row>
    <row r="822" spans="1:26" ht="12.75" customHeight="1" x14ac:dyDescent="0.3">
      <c r="A822" s="103"/>
      <c r="B822" s="108"/>
      <c r="C822" s="107"/>
      <c r="D822" s="104"/>
      <c r="E822" s="109"/>
      <c r="F822" s="103"/>
      <c r="G822" s="110"/>
      <c r="H822" s="102"/>
      <c r="I822" s="111"/>
      <c r="J822" s="104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</row>
    <row r="823" spans="1:26" ht="12.75" customHeight="1" x14ac:dyDescent="0.3">
      <c r="A823" s="103"/>
      <c r="B823" s="108"/>
      <c r="C823" s="107"/>
      <c r="D823" s="104"/>
      <c r="E823" s="109"/>
      <c r="F823" s="103"/>
      <c r="G823" s="110"/>
      <c r="H823" s="102"/>
      <c r="I823" s="111"/>
      <c r="J823" s="104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</row>
    <row r="824" spans="1:26" ht="12.75" customHeight="1" x14ac:dyDescent="0.3">
      <c r="A824" s="103"/>
      <c r="B824" s="108"/>
      <c r="C824" s="107"/>
      <c r="D824" s="104"/>
      <c r="E824" s="109"/>
      <c r="F824" s="103"/>
      <c r="G824" s="110"/>
      <c r="H824" s="102"/>
      <c r="I824" s="111"/>
      <c r="J824" s="104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</row>
    <row r="825" spans="1:26" ht="12.75" customHeight="1" x14ac:dyDescent="0.3">
      <c r="A825" s="103"/>
      <c r="B825" s="108"/>
      <c r="C825" s="107"/>
      <c r="D825" s="104"/>
      <c r="E825" s="109"/>
      <c r="F825" s="103"/>
      <c r="G825" s="110"/>
      <c r="H825" s="102"/>
      <c r="I825" s="111"/>
      <c r="J825" s="104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</row>
    <row r="826" spans="1:26" ht="12.75" customHeight="1" x14ac:dyDescent="0.3">
      <c r="A826" s="103"/>
      <c r="B826" s="108"/>
      <c r="C826" s="107"/>
      <c r="D826" s="104"/>
      <c r="E826" s="109"/>
      <c r="F826" s="103"/>
      <c r="G826" s="110"/>
      <c r="H826" s="102"/>
      <c r="I826" s="111"/>
      <c r="J826" s="104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</row>
    <row r="827" spans="1:26" ht="12.75" customHeight="1" x14ac:dyDescent="0.3">
      <c r="A827" s="103"/>
      <c r="B827" s="108"/>
      <c r="C827" s="107"/>
      <c r="D827" s="104"/>
      <c r="E827" s="109"/>
      <c r="F827" s="103"/>
      <c r="G827" s="110"/>
      <c r="H827" s="102"/>
      <c r="I827" s="111"/>
      <c r="J827" s="104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</row>
    <row r="828" spans="1:26" ht="12.75" customHeight="1" x14ac:dyDescent="0.3">
      <c r="A828" s="103"/>
      <c r="B828" s="108"/>
      <c r="C828" s="107"/>
      <c r="D828" s="104"/>
      <c r="E828" s="109"/>
      <c r="F828" s="103"/>
      <c r="G828" s="110"/>
      <c r="H828" s="102"/>
      <c r="I828" s="111"/>
      <c r="J828" s="104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</row>
    <row r="829" spans="1:26" ht="12.75" customHeight="1" x14ac:dyDescent="0.3">
      <c r="A829" s="103"/>
      <c r="B829" s="108"/>
      <c r="C829" s="107"/>
      <c r="D829" s="104"/>
      <c r="E829" s="109"/>
      <c r="F829" s="103"/>
      <c r="G829" s="110"/>
      <c r="H829" s="102"/>
      <c r="I829" s="111"/>
      <c r="J829" s="104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</row>
    <row r="830" spans="1:26" ht="12.75" customHeight="1" x14ac:dyDescent="0.3">
      <c r="A830" s="103"/>
      <c r="B830" s="108"/>
      <c r="C830" s="107"/>
      <c r="D830" s="104"/>
      <c r="E830" s="109"/>
      <c r="F830" s="103"/>
      <c r="G830" s="110"/>
      <c r="H830" s="102"/>
      <c r="I830" s="111"/>
      <c r="J830" s="104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</row>
    <row r="831" spans="1:26" ht="12.75" customHeight="1" x14ac:dyDescent="0.3">
      <c r="A831" s="103"/>
      <c r="B831" s="108"/>
      <c r="C831" s="107"/>
      <c r="D831" s="104"/>
      <c r="E831" s="109"/>
      <c r="F831" s="103"/>
      <c r="G831" s="110"/>
      <c r="H831" s="102"/>
      <c r="I831" s="111"/>
      <c r="J831" s="104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</row>
    <row r="832" spans="1:26" ht="12.75" customHeight="1" x14ac:dyDescent="0.3">
      <c r="A832" s="103"/>
      <c r="B832" s="108"/>
      <c r="C832" s="107"/>
      <c r="D832" s="104"/>
      <c r="E832" s="109"/>
      <c r="F832" s="103"/>
      <c r="G832" s="110"/>
      <c r="H832" s="102"/>
      <c r="I832" s="111"/>
      <c r="J832" s="104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</row>
    <row r="833" spans="1:26" ht="12.75" customHeight="1" x14ac:dyDescent="0.3">
      <c r="A833" s="103"/>
      <c r="B833" s="108"/>
      <c r="C833" s="107"/>
      <c r="D833" s="104"/>
      <c r="E833" s="109"/>
      <c r="F833" s="103"/>
      <c r="G833" s="110"/>
      <c r="H833" s="102"/>
      <c r="I833" s="111"/>
      <c r="J833" s="104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</row>
    <row r="834" spans="1:26" ht="12.75" customHeight="1" x14ac:dyDescent="0.3">
      <c r="A834" s="103"/>
      <c r="B834" s="108"/>
      <c r="C834" s="107"/>
      <c r="D834" s="104"/>
      <c r="E834" s="109"/>
      <c r="F834" s="103"/>
      <c r="G834" s="110"/>
      <c r="H834" s="102"/>
      <c r="I834" s="111"/>
      <c r="J834" s="104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</row>
    <row r="835" spans="1:26" ht="12.75" customHeight="1" x14ac:dyDescent="0.3">
      <c r="A835" s="103"/>
      <c r="B835" s="108"/>
      <c r="C835" s="107"/>
      <c r="D835" s="104"/>
      <c r="E835" s="109"/>
      <c r="F835" s="103"/>
      <c r="G835" s="110"/>
      <c r="H835" s="102"/>
      <c r="I835" s="111"/>
      <c r="J835" s="104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</row>
    <row r="836" spans="1:26" ht="12.75" customHeight="1" x14ac:dyDescent="0.3">
      <c r="A836" s="103"/>
      <c r="B836" s="108"/>
      <c r="C836" s="107"/>
      <c r="D836" s="104"/>
      <c r="E836" s="109"/>
      <c r="F836" s="103"/>
      <c r="G836" s="110"/>
      <c r="H836" s="102"/>
      <c r="I836" s="111"/>
      <c r="J836" s="104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</row>
    <row r="837" spans="1:26" ht="12.75" customHeight="1" x14ac:dyDescent="0.3">
      <c r="A837" s="103"/>
      <c r="B837" s="108"/>
      <c r="C837" s="107"/>
      <c r="D837" s="104"/>
      <c r="E837" s="109"/>
      <c r="F837" s="103"/>
      <c r="G837" s="110"/>
      <c r="H837" s="102"/>
      <c r="I837" s="111"/>
      <c r="J837" s="104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</row>
    <row r="838" spans="1:26" ht="12.75" customHeight="1" x14ac:dyDescent="0.3">
      <c r="A838" s="103"/>
      <c r="B838" s="108"/>
      <c r="C838" s="107"/>
      <c r="D838" s="104"/>
      <c r="E838" s="109"/>
      <c r="F838" s="103"/>
      <c r="G838" s="110"/>
      <c r="H838" s="102"/>
      <c r="I838" s="111"/>
      <c r="J838" s="104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</row>
    <row r="839" spans="1:26" ht="12.75" customHeight="1" x14ac:dyDescent="0.3">
      <c r="A839" s="103"/>
      <c r="B839" s="108"/>
      <c r="C839" s="107"/>
      <c r="D839" s="104"/>
      <c r="E839" s="109"/>
      <c r="F839" s="103"/>
      <c r="G839" s="110"/>
      <c r="H839" s="102"/>
      <c r="I839" s="111"/>
      <c r="J839" s="104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</row>
    <row r="840" spans="1:26" ht="12.75" customHeight="1" x14ac:dyDescent="0.3">
      <c r="A840" s="103"/>
      <c r="B840" s="108"/>
      <c r="C840" s="107"/>
      <c r="D840" s="104"/>
      <c r="E840" s="109"/>
      <c r="F840" s="103"/>
      <c r="G840" s="110"/>
      <c r="H840" s="102"/>
      <c r="I840" s="111"/>
      <c r="J840" s="104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</row>
    <row r="841" spans="1:26" ht="12.75" customHeight="1" x14ac:dyDescent="0.3">
      <c r="A841" s="103"/>
      <c r="B841" s="108"/>
      <c r="C841" s="107"/>
      <c r="D841" s="104"/>
      <c r="E841" s="109"/>
      <c r="F841" s="103"/>
      <c r="G841" s="110"/>
      <c r="H841" s="102"/>
      <c r="I841" s="111"/>
      <c r="J841" s="104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</row>
    <row r="842" spans="1:26" ht="12.75" customHeight="1" x14ac:dyDescent="0.3">
      <c r="A842" s="103"/>
      <c r="B842" s="108"/>
      <c r="C842" s="107"/>
      <c r="D842" s="104"/>
      <c r="E842" s="109"/>
      <c r="F842" s="103"/>
      <c r="G842" s="110"/>
      <c r="H842" s="102"/>
      <c r="I842" s="111"/>
      <c r="J842" s="104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</row>
    <row r="843" spans="1:26" ht="12.75" customHeight="1" x14ac:dyDescent="0.3">
      <c r="A843" s="103"/>
      <c r="B843" s="108"/>
      <c r="C843" s="107"/>
      <c r="D843" s="104"/>
      <c r="E843" s="109"/>
      <c r="F843" s="103"/>
      <c r="G843" s="110"/>
      <c r="H843" s="102"/>
      <c r="I843" s="111"/>
      <c r="J843" s="104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</row>
    <row r="844" spans="1:26" ht="12.75" customHeight="1" x14ac:dyDescent="0.3">
      <c r="A844" s="103"/>
      <c r="B844" s="108"/>
      <c r="C844" s="107"/>
      <c r="D844" s="104"/>
      <c r="E844" s="109"/>
      <c r="F844" s="103"/>
      <c r="G844" s="110"/>
      <c r="H844" s="102"/>
      <c r="I844" s="111"/>
      <c r="J844" s="104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</row>
    <row r="845" spans="1:26" ht="12.75" customHeight="1" x14ac:dyDescent="0.3">
      <c r="A845" s="103"/>
      <c r="B845" s="108"/>
      <c r="C845" s="107"/>
      <c r="D845" s="104"/>
      <c r="E845" s="109"/>
      <c r="F845" s="103"/>
      <c r="G845" s="110"/>
      <c r="H845" s="102"/>
      <c r="I845" s="111"/>
      <c r="J845" s="104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</row>
    <row r="846" spans="1:26" ht="12.75" customHeight="1" x14ac:dyDescent="0.3">
      <c r="A846" s="103"/>
      <c r="B846" s="108"/>
      <c r="C846" s="107"/>
      <c r="D846" s="104"/>
      <c r="E846" s="109"/>
      <c r="F846" s="103"/>
      <c r="G846" s="110"/>
      <c r="H846" s="102"/>
      <c r="I846" s="111"/>
      <c r="J846" s="104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</row>
    <row r="847" spans="1:26" ht="12.75" customHeight="1" x14ac:dyDescent="0.3">
      <c r="A847" s="103"/>
      <c r="B847" s="108"/>
      <c r="C847" s="107"/>
      <c r="D847" s="104"/>
      <c r="E847" s="109"/>
      <c r="F847" s="103"/>
      <c r="G847" s="110"/>
      <c r="H847" s="102"/>
      <c r="I847" s="111"/>
      <c r="J847" s="104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</row>
    <row r="848" spans="1:26" ht="12.75" customHeight="1" x14ac:dyDescent="0.3">
      <c r="A848" s="103"/>
      <c r="B848" s="108"/>
      <c r="C848" s="107"/>
      <c r="D848" s="104"/>
      <c r="E848" s="109"/>
      <c r="F848" s="103"/>
      <c r="G848" s="110"/>
      <c r="H848" s="102"/>
      <c r="I848" s="111"/>
      <c r="J848" s="104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</row>
    <row r="849" spans="1:26" ht="12.75" customHeight="1" x14ac:dyDescent="0.3">
      <c r="A849" s="103"/>
      <c r="B849" s="108"/>
      <c r="C849" s="107"/>
      <c r="D849" s="104"/>
      <c r="E849" s="109"/>
      <c r="F849" s="103"/>
      <c r="G849" s="110"/>
      <c r="H849" s="102"/>
      <c r="I849" s="111"/>
      <c r="J849" s="104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</row>
    <row r="850" spans="1:26" ht="12.75" customHeight="1" x14ac:dyDescent="0.3">
      <c r="A850" s="103"/>
      <c r="B850" s="108"/>
      <c r="C850" s="107"/>
      <c r="D850" s="104"/>
      <c r="E850" s="109"/>
      <c r="F850" s="103"/>
      <c r="G850" s="110"/>
      <c r="H850" s="102"/>
      <c r="I850" s="111"/>
      <c r="J850" s="104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</row>
    <row r="851" spans="1:26" ht="12.75" customHeight="1" x14ac:dyDescent="0.3">
      <c r="A851" s="103"/>
      <c r="B851" s="108"/>
      <c r="C851" s="107"/>
      <c r="D851" s="104"/>
      <c r="E851" s="109"/>
      <c r="F851" s="103"/>
      <c r="G851" s="110"/>
      <c r="H851" s="102"/>
      <c r="I851" s="111"/>
      <c r="J851" s="104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</row>
    <row r="852" spans="1:26" ht="12.75" customHeight="1" x14ac:dyDescent="0.3">
      <c r="A852" s="103"/>
      <c r="B852" s="108"/>
      <c r="C852" s="107"/>
      <c r="D852" s="104"/>
      <c r="E852" s="109"/>
      <c r="F852" s="103"/>
      <c r="G852" s="110"/>
      <c r="H852" s="102"/>
      <c r="I852" s="111"/>
      <c r="J852" s="104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</row>
    <row r="853" spans="1:26" ht="12.75" customHeight="1" x14ac:dyDescent="0.3">
      <c r="A853" s="103"/>
      <c r="B853" s="108"/>
      <c r="C853" s="107"/>
      <c r="D853" s="104"/>
      <c r="E853" s="109"/>
      <c r="F853" s="103"/>
      <c r="G853" s="110"/>
      <c r="H853" s="102"/>
      <c r="I853" s="111"/>
      <c r="J853" s="104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</row>
    <row r="854" spans="1:26" ht="12.75" customHeight="1" x14ac:dyDescent="0.3">
      <c r="A854" s="103"/>
      <c r="B854" s="108"/>
      <c r="C854" s="107"/>
      <c r="D854" s="104"/>
      <c r="E854" s="109"/>
      <c r="F854" s="103"/>
      <c r="G854" s="110"/>
      <c r="H854" s="102"/>
      <c r="I854" s="111"/>
      <c r="J854" s="104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</row>
    <row r="855" spans="1:26" ht="12.75" customHeight="1" x14ac:dyDescent="0.3">
      <c r="A855" s="103"/>
      <c r="B855" s="108"/>
      <c r="C855" s="107"/>
      <c r="D855" s="104"/>
      <c r="E855" s="109"/>
      <c r="F855" s="103"/>
      <c r="G855" s="110"/>
      <c r="H855" s="102"/>
      <c r="I855" s="111"/>
      <c r="J855" s="104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</row>
    <row r="856" spans="1:26" ht="12.75" customHeight="1" x14ac:dyDescent="0.3">
      <c r="A856" s="103"/>
      <c r="B856" s="108"/>
      <c r="C856" s="107"/>
      <c r="D856" s="104"/>
      <c r="E856" s="109"/>
      <c r="F856" s="103"/>
      <c r="G856" s="110"/>
      <c r="H856" s="102"/>
      <c r="I856" s="111"/>
      <c r="J856" s="104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</row>
    <row r="857" spans="1:26" ht="12.75" customHeight="1" x14ac:dyDescent="0.3">
      <c r="A857" s="103"/>
      <c r="B857" s="108"/>
      <c r="C857" s="107"/>
      <c r="D857" s="104"/>
      <c r="E857" s="109"/>
      <c r="F857" s="103"/>
      <c r="G857" s="110"/>
      <c r="H857" s="102"/>
      <c r="I857" s="111"/>
      <c r="J857" s="104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</row>
    <row r="858" spans="1:26" ht="12.75" customHeight="1" x14ac:dyDescent="0.3">
      <c r="A858" s="103"/>
      <c r="B858" s="108"/>
      <c r="C858" s="107"/>
      <c r="D858" s="104"/>
      <c r="E858" s="109"/>
      <c r="F858" s="103"/>
      <c r="G858" s="110"/>
      <c r="H858" s="102"/>
      <c r="I858" s="111"/>
      <c r="J858" s="104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</row>
    <row r="859" spans="1:26" ht="15" customHeight="1" x14ac:dyDescent="0.3">
      <c r="D859" s="104"/>
      <c r="E859" s="109"/>
      <c r="F859" s="103"/>
      <c r="G859" s="110"/>
    </row>
    <row r="860" spans="1:26" ht="15" customHeight="1" x14ac:dyDescent="0.3">
      <c r="D860" s="104"/>
      <c r="E860" s="109"/>
      <c r="F860" s="103"/>
      <c r="G860" s="110"/>
    </row>
    <row r="861" spans="1:26" ht="15" customHeight="1" x14ac:dyDescent="0.3">
      <c r="D861" s="104"/>
      <c r="E861" s="109"/>
      <c r="F861" s="103"/>
      <c r="G861" s="110"/>
    </row>
    <row r="862" spans="1:26" ht="15" customHeight="1" x14ac:dyDescent="0.3">
      <c r="D862" s="104"/>
      <c r="E862" s="109"/>
      <c r="F862" s="103"/>
      <c r="G862" s="110"/>
    </row>
  </sheetData>
  <mergeCells count="231">
    <mergeCell ref="B328:B329"/>
    <mergeCell ref="C328:C329"/>
    <mergeCell ref="H328:H329"/>
    <mergeCell ref="I328:I329"/>
    <mergeCell ref="D139:D142"/>
    <mergeCell ref="D267:D273"/>
    <mergeCell ref="G267:G273"/>
    <mergeCell ref="G274:G279"/>
    <mergeCell ref="D280:D286"/>
    <mergeCell ref="G280:G286"/>
    <mergeCell ref="D289:D293"/>
    <mergeCell ref="G289:G293"/>
    <mergeCell ref="D295:D299"/>
    <mergeCell ref="G295:G299"/>
    <mergeCell ref="D149:D150"/>
    <mergeCell ref="G175:G177"/>
    <mergeCell ref="G149:G150"/>
    <mergeCell ref="D143:D146"/>
    <mergeCell ref="D158:D159"/>
    <mergeCell ref="D160:D161"/>
    <mergeCell ref="D162:D163"/>
    <mergeCell ref="B258:B261"/>
    <mergeCell ref="C258:C261"/>
    <mergeCell ref="E258:F258"/>
    <mergeCell ref="G258:G261"/>
    <mergeCell ref="E259:F259"/>
    <mergeCell ref="E260:F260"/>
    <mergeCell ref="E261:F261"/>
    <mergeCell ref="B135:B150"/>
    <mergeCell ref="C135:C150"/>
    <mergeCell ref="D135:D138"/>
    <mergeCell ref="G135:G138"/>
    <mergeCell ref="D152:D157"/>
    <mergeCell ref="B180:B210"/>
    <mergeCell ref="C180:C210"/>
    <mergeCell ref="B152:B163"/>
    <mergeCell ref="C152:C163"/>
    <mergeCell ref="B164:B173"/>
    <mergeCell ref="D206:D210"/>
    <mergeCell ref="G206:G210"/>
    <mergeCell ref="G139:G142"/>
    <mergeCell ref="C254:C257"/>
    <mergeCell ref="B254:B257"/>
    <mergeCell ref="E254:F254"/>
    <mergeCell ref="G254:G257"/>
    <mergeCell ref="H254:H257"/>
    <mergeCell ref="I254:I257"/>
    <mergeCell ref="H164:H173"/>
    <mergeCell ref="I164:I173"/>
    <mergeCell ref="D168:D169"/>
    <mergeCell ref="G168:G169"/>
    <mergeCell ref="D165:D166"/>
    <mergeCell ref="G165:G166"/>
    <mergeCell ref="H174:H179"/>
    <mergeCell ref="I174:I179"/>
    <mergeCell ref="G152:G157"/>
    <mergeCell ref="G158:G159"/>
    <mergeCell ref="G160:G161"/>
    <mergeCell ref="G162:G163"/>
    <mergeCell ref="G143:G146"/>
    <mergeCell ref="D147:D148"/>
    <mergeCell ref="G147:G148"/>
    <mergeCell ref="J305:J323"/>
    <mergeCell ref="J324:J325"/>
    <mergeCell ref="J176:J204"/>
    <mergeCell ref="J162:J175"/>
    <mergeCell ref="J206:J207"/>
    <mergeCell ref="J208:J217"/>
    <mergeCell ref="H78:H105"/>
    <mergeCell ref="H152:H163"/>
    <mergeCell ref="I152:I163"/>
    <mergeCell ref="H180:H210"/>
    <mergeCell ref="I180:I210"/>
    <mergeCell ref="H213:H221"/>
    <mergeCell ref="I213:I221"/>
    <mergeCell ref="H211:H212"/>
    <mergeCell ref="I211:I212"/>
    <mergeCell ref="H233:H236"/>
    <mergeCell ref="I233:I236"/>
    <mergeCell ref="J263:J304"/>
    <mergeCell ref="H135:H150"/>
    <mergeCell ref="I135:I150"/>
    <mergeCell ref="H258:H261"/>
    <mergeCell ref="I258:I261"/>
    <mergeCell ref="H305:H327"/>
    <mergeCell ref="I305:I327"/>
    <mergeCell ref="D54:D55"/>
    <mergeCell ref="G54:G55"/>
    <mergeCell ref="D63:D66"/>
    <mergeCell ref="G63:G66"/>
    <mergeCell ref="I21:I77"/>
    <mergeCell ref="H21:H77"/>
    <mergeCell ref="D56:D62"/>
    <mergeCell ref="G56:G62"/>
    <mergeCell ref="D67:D74"/>
    <mergeCell ref="G67:G74"/>
    <mergeCell ref="D21:D31"/>
    <mergeCell ref="G21:G31"/>
    <mergeCell ref="D32:D41"/>
    <mergeCell ref="G32:G41"/>
    <mergeCell ref="G110:G119"/>
    <mergeCell ref="G120:G126"/>
    <mergeCell ref="G127:G130"/>
    <mergeCell ref="I78:I105"/>
    <mergeCell ref="H106:H134"/>
    <mergeCell ref="I106:I134"/>
    <mergeCell ref="D106:D109"/>
    <mergeCell ref="D127:D130"/>
    <mergeCell ref="D131:D134"/>
    <mergeCell ref="G131:G134"/>
    <mergeCell ref="D110:D119"/>
    <mergeCell ref="D120:D126"/>
    <mergeCell ref="D90:D91"/>
    <mergeCell ref="G90:G91"/>
    <mergeCell ref="D92:D94"/>
    <mergeCell ref="G92:G94"/>
    <mergeCell ref="D99:D102"/>
    <mergeCell ref="B1:I1"/>
    <mergeCell ref="B2:I2"/>
    <mergeCell ref="B3:I3"/>
    <mergeCell ref="B4:I4"/>
    <mergeCell ref="B5:I5"/>
    <mergeCell ref="B6:I6"/>
    <mergeCell ref="C10:I10"/>
    <mergeCell ref="C7:I7"/>
    <mergeCell ref="C8:I8"/>
    <mergeCell ref="C9:I9"/>
    <mergeCell ref="J10:K10"/>
    <mergeCell ref="B12:I12"/>
    <mergeCell ref="C13:I13"/>
    <mergeCell ref="C11:I11"/>
    <mergeCell ref="C19:I19"/>
    <mergeCell ref="C20:I20"/>
    <mergeCell ref="C78:C105"/>
    <mergeCell ref="B78:B105"/>
    <mergeCell ref="C106:C134"/>
    <mergeCell ref="B106:B134"/>
    <mergeCell ref="C21:C77"/>
    <mergeCell ref="B21:B77"/>
    <mergeCell ref="D42:D48"/>
    <mergeCell ref="G42:G48"/>
    <mergeCell ref="D50:D53"/>
    <mergeCell ref="G50:G53"/>
    <mergeCell ref="D78:D84"/>
    <mergeCell ref="G78:G84"/>
    <mergeCell ref="D86:D89"/>
    <mergeCell ref="G86:G89"/>
    <mergeCell ref="D95:D98"/>
    <mergeCell ref="G95:G98"/>
    <mergeCell ref="G99:G102"/>
    <mergeCell ref="G106:G109"/>
    <mergeCell ref="C164:C173"/>
    <mergeCell ref="C174:C179"/>
    <mergeCell ref="B174:B179"/>
    <mergeCell ref="D320:D323"/>
    <mergeCell ref="G320:G323"/>
    <mergeCell ref="D324:D327"/>
    <mergeCell ref="G324:G327"/>
    <mergeCell ref="G211:G212"/>
    <mergeCell ref="G213:G221"/>
    <mergeCell ref="G300:G303"/>
    <mergeCell ref="D305:D309"/>
    <mergeCell ref="G305:G309"/>
    <mergeCell ref="E241:F241"/>
    <mergeCell ref="E242:F242"/>
    <mergeCell ref="E237:F237"/>
    <mergeCell ref="G187:G188"/>
    <mergeCell ref="D187:D188"/>
    <mergeCell ref="G178:G179"/>
    <mergeCell ref="E255:F255"/>
    <mergeCell ref="E256:F256"/>
    <mergeCell ref="E257:F257"/>
    <mergeCell ref="D175:D177"/>
    <mergeCell ref="D178:D179"/>
    <mergeCell ref="E243:F243"/>
    <mergeCell ref="D180:D186"/>
    <mergeCell ref="G180:G186"/>
    <mergeCell ref="D189:D193"/>
    <mergeCell ref="G189:G193"/>
    <mergeCell ref="D194:D196"/>
    <mergeCell ref="G194:G196"/>
    <mergeCell ref="D197:D200"/>
    <mergeCell ref="G197:G200"/>
    <mergeCell ref="D201:D205"/>
    <mergeCell ref="G201:G205"/>
    <mergeCell ref="B211:B212"/>
    <mergeCell ref="C211:C212"/>
    <mergeCell ref="B213:B221"/>
    <mergeCell ref="C213:C221"/>
    <mergeCell ref="C233:C236"/>
    <mergeCell ref="B233:B236"/>
    <mergeCell ref="G233:G236"/>
    <mergeCell ref="E233:F233"/>
    <mergeCell ref="E234:F234"/>
    <mergeCell ref="E235:F235"/>
    <mergeCell ref="E236:F236"/>
    <mergeCell ref="C245:C253"/>
    <mergeCell ref="B245:B253"/>
    <mergeCell ref="G245:G253"/>
    <mergeCell ref="H245:H253"/>
    <mergeCell ref="I245:I253"/>
    <mergeCell ref="B238:B240"/>
    <mergeCell ref="C238:C240"/>
    <mergeCell ref="E238:F238"/>
    <mergeCell ref="H238:H240"/>
    <mergeCell ref="I238:I240"/>
    <mergeCell ref="E239:F239"/>
    <mergeCell ref="E240:F240"/>
    <mergeCell ref="C241:C242"/>
    <mergeCell ref="B241:B242"/>
    <mergeCell ref="H241:H242"/>
    <mergeCell ref="I241:I242"/>
    <mergeCell ref="E244:F244"/>
    <mergeCell ref="B300:B304"/>
    <mergeCell ref="C300:C304"/>
    <mergeCell ref="H267:H299"/>
    <mergeCell ref="H300:H304"/>
    <mergeCell ref="I300:I304"/>
    <mergeCell ref="I267:I299"/>
    <mergeCell ref="B267:B299"/>
    <mergeCell ref="C267:C299"/>
    <mergeCell ref="B305:B327"/>
    <mergeCell ref="C305:C327"/>
    <mergeCell ref="D311:D314"/>
    <mergeCell ref="G311:G314"/>
    <mergeCell ref="D315:D316"/>
    <mergeCell ref="G315:G316"/>
    <mergeCell ref="D317:D319"/>
    <mergeCell ref="G317:G319"/>
    <mergeCell ref="D274:D279"/>
    <mergeCell ref="D300:D303"/>
  </mergeCells>
  <printOptions horizontalCentered="1"/>
  <pageMargins left="0.70866141732283472" right="0.51181102362204722" top="0.39370078740157483" bottom="0.56000000000000005" header="0" footer="0"/>
  <pageSetup paperSize="9" scale="49" fitToHeight="0" orientation="portrait" r:id="rId1"/>
  <ignoredErrors>
    <ignoredError sqref="F20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G1000"/>
  <sheetViews>
    <sheetView workbookViewId="0"/>
  </sheetViews>
  <sheetFormatPr defaultColWidth="14.44140625" defaultRowHeight="15" customHeight="1" x14ac:dyDescent="0.3"/>
  <cols>
    <col min="1" max="2" width="8.5546875" customWidth="1"/>
    <col min="3" max="3" width="46.109375" customWidth="1"/>
    <col min="4" max="4" width="51" customWidth="1"/>
    <col min="5" max="5" width="21" customWidth="1"/>
    <col min="6" max="6" width="14.44140625" customWidth="1"/>
    <col min="7" max="26" width="8.5546875" customWidth="1"/>
  </cols>
  <sheetData>
    <row r="5" spans="3:7" ht="51" customHeight="1" x14ac:dyDescent="0.3">
      <c r="C5" s="112" t="s">
        <v>197</v>
      </c>
      <c r="D5" s="113" t="s">
        <v>198</v>
      </c>
      <c r="E5" s="112" t="s">
        <v>199</v>
      </c>
      <c r="F5" s="114" t="s">
        <v>200</v>
      </c>
      <c r="G5" s="114" t="s">
        <v>73</v>
      </c>
    </row>
    <row r="6" spans="3:7" ht="39.75" customHeight="1" x14ac:dyDescent="0.3">
      <c r="C6" s="112">
        <v>88309</v>
      </c>
      <c r="D6" s="113" t="s">
        <v>118</v>
      </c>
      <c r="E6" s="112" t="s">
        <v>14</v>
      </c>
      <c r="F6" s="114">
        <v>1.23</v>
      </c>
      <c r="G6" s="115"/>
    </row>
    <row r="7" spans="3:7" ht="14.4" x14ac:dyDescent="0.3">
      <c r="C7" s="112">
        <v>88316</v>
      </c>
      <c r="D7" s="113" t="s">
        <v>85</v>
      </c>
      <c r="E7" s="112" t="s">
        <v>14</v>
      </c>
      <c r="F7" s="114">
        <v>1.476</v>
      </c>
      <c r="G7" s="115"/>
    </row>
    <row r="8" spans="3:7" ht="44.25" customHeight="1" x14ac:dyDescent="0.3">
      <c r="C8" s="112">
        <v>94971</v>
      </c>
      <c r="D8" s="113" t="s">
        <v>201</v>
      </c>
      <c r="E8" s="112" t="s">
        <v>121</v>
      </c>
      <c r="F8" s="114">
        <v>8.5999999999999993E-2</v>
      </c>
      <c r="G8" s="115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conditionalFormatting sqref="C5:G8">
    <cfRule type="expression" dxfId="1" priority="1" stopIfTrue="1">
      <formula>AND($A5&lt;&gt;"COMPOSICAO",$A5&lt;&gt;"INSUMO",$A5&lt;&gt;"")</formula>
    </cfRule>
    <cfRule type="expression" dxfId="0" priority="2" stopIfTrue="1">
      <formula>AND(OR($A5="COMPOSICAO",$A5="INSUMO",$A5&lt;&gt;""),$A5&lt;&gt;"")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defaultColWidth="14.44140625" defaultRowHeight="15" customHeight="1" x14ac:dyDescent="0.3"/>
  <cols>
    <col min="1" max="2" width="9.109375" customWidth="1"/>
    <col min="3" max="3" width="56.5546875" customWidth="1"/>
    <col min="4" max="4" width="18.33203125" customWidth="1"/>
    <col min="5" max="5" width="14.5546875" customWidth="1"/>
    <col min="6" max="13" width="9.109375" customWidth="1"/>
    <col min="14" max="26" width="8.5546875" customWidth="1"/>
  </cols>
  <sheetData>
    <row r="1" spans="1:26" ht="15" customHeight="1" x14ac:dyDescent="0.3">
      <c r="A1" s="600" t="s">
        <v>184</v>
      </c>
      <c r="B1" s="543"/>
      <c r="C1" s="543"/>
      <c r="D1" s="543"/>
      <c r="E1" s="543"/>
      <c r="F1" s="543"/>
      <c r="G1" s="543"/>
      <c r="H1" s="117"/>
      <c r="I1" s="117"/>
      <c r="J1" s="117"/>
      <c r="K1" s="117"/>
      <c r="L1" s="117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5" customHeight="1" x14ac:dyDescent="0.3">
      <c r="A2" s="600" t="s">
        <v>202</v>
      </c>
      <c r="B2" s="543"/>
      <c r="C2" s="543"/>
      <c r="D2" s="543"/>
      <c r="E2" s="543"/>
      <c r="F2" s="543"/>
      <c r="G2" s="543"/>
      <c r="H2" s="117"/>
      <c r="I2" s="117"/>
      <c r="J2" s="117"/>
      <c r="K2" s="117"/>
      <c r="L2" s="117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5" customHeight="1" x14ac:dyDescent="0.3">
      <c r="A3" s="600" t="s">
        <v>203</v>
      </c>
      <c r="B3" s="543"/>
      <c r="C3" s="543"/>
      <c r="D3" s="543"/>
      <c r="E3" s="543"/>
      <c r="F3" s="543"/>
      <c r="G3" s="543"/>
      <c r="H3" s="117"/>
      <c r="I3" s="117"/>
      <c r="J3" s="117"/>
      <c r="K3" s="117"/>
      <c r="L3" s="117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5" customHeight="1" x14ac:dyDescent="0.3">
      <c r="A4" s="600" t="s">
        <v>204</v>
      </c>
      <c r="B4" s="543"/>
      <c r="C4" s="543"/>
      <c r="D4" s="543"/>
      <c r="E4" s="543"/>
      <c r="F4" s="543"/>
      <c r="G4" s="543"/>
      <c r="H4" s="117"/>
      <c r="I4" s="117"/>
      <c r="J4" s="117"/>
      <c r="K4" s="117"/>
      <c r="L4" s="117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5" customHeight="1" x14ac:dyDescent="0.3">
      <c r="A5" s="600" t="s">
        <v>205</v>
      </c>
      <c r="B5" s="543"/>
      <c r="C5" s="543"/>
      <c r="D5" s="543"/>
      <c r="E5" s="543"/>
      <c r="F5" s="543"/>
      <c r="G5" s="543"/>
      <c r="H5" s="117"/>
      <c r="I5" s="117"/>
      <c r="J5" s="117"/>
      <c r="K5" s="117"/>
      <c r="L5" s="117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5" customHeight="1" x14ac:dyDescent="0.3">
      <c r="A6" s="600" t="s">
        <v>188</v>
      </c>
      <c r="B6" s="543"/>
      <c r="C6" s="543"/>
      <c r="D6" s="543"/>
      <c r="E6" s="543"/>
      <c r="F6" s="543"/>
      <c r="G6" s="543"/>
      <c r="H6" s="117"/>
      <c r="I6" s="117"/>
      <c r="J6" s="117"/>
      <c r="K6" s="117"/>
      <c r="L6" s="117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2.75" customHeight="1" x14ac:dyDescent="0.3">
      <c r="A7" s="116"/>
      <c r="B7" s="116"/>
      <c r="C7" s="116"/>
      <c r="D7" s="116"/>
      <c r="E7" s="116"/>
      <c r="F7" s="116"/>
      <c r="G7" s="116"/>
      <c r="H7" s="117"/>
      <c r="I7" s="117"/>
      <c r="J7" s="117"/>
      <c r="K7" s="117"/>
      <c r="L7" s="117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2.75" customHeight="1" x14ac:dyDescent="0.3">
      <c r="A8" s="119"/>
      <c r="B8" s="119" t="s">
        <v>206</v>
      </c>
      <c r="C8" s="101"/>
      <c r="D8" s="101"/>
      <c r="E8" s="103"/>
      <c r="F8" s="101"/>
      <c r="G8" s="101"/>
      <c r="H8" s="120"/>
      <c r="I8" s="101"/>
      <c r="J8" s="101"/>
      <c r="K8" s="118"/>
      <c r="L8" s="118"/>
      <c r="M8" s="121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5.75" customHeight="1" x14ac:dyDescent="0.3">
      <c r="A9" s="122"/>
      <c r="B9" s="601" t="s">
        <v>207</v>
      </c>
      <c r="C9" s="543"/>
      <c r="D9" s="543"/>
      <c r="E9" s="543"/>
      <c r="F9" s="543"/>
      <c r="G9" s="543"/>
      <c r="H9" s="543"/>
      <c r="I9" s="543"/>
      <c r="J9" s="543"/>
      <c r="K9" s="118"/>
      <c r="L9" s="118"/>
      <c r="M9" s="121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9.5" customHeight="1" x14ac:dyDescent="0.3">
      <c r="A10" s="124"/>
      <c r="B10" s="596" t="s">
        <v>208</v>
      </c>
      <c r="C10" s="597"/>
      <c r="D10" s="597"/>
      <c r="E10" s="597"/>
      <c r="F10" s="517"/>
      <c r="G10" s="124"/>
      <c r="H10" s="125"/>
      <c r="I10" s="125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9.75" customHeight="1" x14ac:dyDescent="0.3">
      <c r="A11" s="118"/>
      <c r="B11" s="118"/>
      <c r="C11" s="598"/>
      <c r="D11" s="543"/>
      <c r="E11" s="543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8.75" customHeight="1" x14ac:dyDescent="0.3">
      <c r="A12" s="122"/>
      <c r="B12" s="123"/>
      <c r="C12" s="599"/>
      <c r="D12" s="599"/>
      <c r="E12" s="599"/>
      <c r="F12" s="122"/>
      <c r="G12" s="122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30" customHeight="1" x14ac:dyDescent="0.3">
      <c r="A13" s="126"/>
      <c r="B13" s="126"/>
      <c r="C13" s="127" t="s">
        <v>209</v>
      </c>
      <c r="D13" s="128" t="s">
        <v>125</v>
      </c>
      <c r="E13" s="129" t="s">
        <v>210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39.75" customHeight="1" x14ac:dyDescent="0.3">
      <c r="A14" s="118"/>
      <c r="B14" s="118"/>
      <c r="C14" s="130" t="s">
        <v>211</v>
      </c>
      <c r="D14" s="131" t="s">
        <v>111</v>
      </c>
      <c r="E14" s="132">
        <v>419.57920000000001</v>
      </c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39.75" customHeight="1" x14ac:dyDescent="0.3">
      <c r="A15" s="118"/>
      <c r="B15" s="118"/>
      <c r="C15" s="133" t="s">
        <v>212</v>
      </c>
      <c r="D15" s="134" t="s">
        <v>111</v>
      </c>
      <c r="E15" s="135">
        <v>23.303200000000004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39.75" customHeight="1" x14ac:dyDescent="0.3">
      <c r="A16" s="118"/>
      <c r="B16" s="118"/>
      <c r="C16" s="133" t="s">
        <v>213</v>
      </c>
      <c r="D16" s="134" t="s">
        <v>111</v>
      </c>
      <c r="E16" s="135">
        <v>140.53800000000001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39.75" customHeight="1" x14ac:dyDescent="0.3">
      <c r="A17" s="118"/>
      <c r="B17" s="118"/>
      <c r="C17" s="133" t="s">
        <v>214</v>
      </c>
      <c r="D17" s="134" t="s">
        <v>111</v>
      </c>
      <c r="E17" s="135">
        <v>0</v>
      </c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39.75" customHeight="1" x14ac:dyDescent="0.3">
      <c r="A18" s="118"/>
      <c r="B18" s="118"/>
      <c r="C18" s="133" t="s">
        <v>215</v>
      </c>
      <c r="D18" s="136" t="s">
        <v>111</v>
      </c>
      <c r="E18" s="135">
        <v>95.54000000000002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39.75" customHeight="1" x14ac:dyDescent="0.3">
      <c r="A19" s="118"/>
      <c r="B19" s="118"/>
      <c r="C19" s="137" t="s">
        <v>216</v>
      </c>
      <c r="D19" s="136" t="s">
        <v>111</v>
      </c>
      <c r="E19" s="135">
        <v>0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39.75" customHeight="1" x14ac:dyDescent="0.3">
      <c r="A20" s="118"/>
      <c r="B20" s="118"/>
      <c r="C20" s="137" t="s">
        <v>217</v>
      </c>
      <c r="D20" s="136" t="s">
        <v>121</v>
      </c>
      <c r="E20" s="135">
        <v>0</v>
      </c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39.75" customHeight="1" x14ac:dyDescent="0.3">
      <c r="A21" s="118"/>
      <c r="B21" s="118"/>
      <c r="C21" s="137" t="s">
        <v>218</v>
      </c>
      <c r="D21" s="136" t="s">
        <v>111</v>
      </c>
      <c r="E21" s="135">
        <v>279.9092</v>
      </c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39.75" customHeight="1" x14ac:dyDescent="0.3">
      <c r="A22" s="118"/>
      <c r="B22" s="118"/>
      <c r="C22" s="137" t="s">
        <v>219</v>
      </c>
      <c r="D22" s="136" t="s">
        <v>111</v>
      </c>
      <c r="E22" s="135">
        <v>23.303200000000004</v>
      </c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39.75" customHeight="1" x14ac:dyDescent="0.3">
      <c r="A23" s="118"/>
      <c r="B23" s="118"/>
      <c r="C23" s="137" t="s">
        <v>220</v>
      </c>
      <c r="D23" s="136" t="s">
        <v>111</v>
      </c>
      <c r="E23" s="135">
        <v>184.66800000000001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39.75" customHeight="1" x14ac:dyDescent="0.3">
      <c r="A24" s="118"/>
      <c r="B24" s="118"/>
      <c r="C24" s="133" t="s">
        <v>221</v>
      </c>
      <c r="D24" s="136" t="s">
        <v>111</v>
      </c>
      <c r="E24" s="135">
        <v>266.69619999999998</v>
      </c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39.75" customHeight="1" x14ac:dyDescent="0.3">
      <c r="A25" s="118"/>
      <c r="B25" s="118"/>
      <c r="C25" s="133" t="s">
        <v>222</v>
      </c>
      <c r="D25" s="136" t="s">
        <v>111</v>
      </c>
      <c r="E25" s="135">
        <v>62.8</v>
      </c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39.75" customHeight="1" x14ac:dyDescent="0.3">
      <c r="A26" s="118"/>
      <c r="B26" s="118"/>
      <c r="C26" s="133" t="s">
        <v>223</v>
      </c>
      <c r="D26" s="136" t="s">
        <v>111</v>
      </c>
      <c r="E26" s="138">
        <v>303.51120000000003</v>
      </c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39.75" customHeight="1" x14ac:dyDescent="0.3">
      <c r="A27" s="118"/>
      <c r="B27" s="118"/>
      <c r="C27" s="133" t="s">
        <v>224</v>
      </c>
      <c r="D27" s="136" t="s">
        <v>111</v>
      </c>
      <c r="E27" s="138">
        <v>303.51120000000003</v>
      </c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39.75" customHeight="1" x14ac:dyDescent="0.3">
      <c r="A28" s="118"/>
      <c r="B28" s="118"/>
      <c r="C28" s="133" t="s">
        <v>225</v>
      </c>
      <c r="D28" s="136" t="s">
        <v>111</v>
      </c>
      <c r="E28" s="138">
        <v>62.8</v>
      </c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39.75" customHeight="1" x14ac:dyDescent="0.3">
      <c r="A29" s="118"/>
      <c r="B29" s="118"/>
      <c r="C29" s="133" t="s">
        <v>226</v>
      </c>
      <c r="D29" s="136" t="s">
        <v>111</v>
      </c>
      <c r="E29" s="139">
        <v>62.8</v>
      </c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2.75" customHeight="1" x14ac:dyDescent="0.3">
      <c r="A30" s="118"/>
      <c r="B30" s="118"/>
      <c r="C30" s="133" t="s">
        <v>227</v>
      </c>
      <c r="D30" s="136" t="s">
        <v>111</v>
      </c>
      <c r="E30" s="139">
        <v>62.8</v>
      </c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2.75" customHeight="1" x14ac:dyDescent="0.3">
      <c r="A31" s="118"/>
      <c r="B31" s="118"/>
      <c r="C31" s="140" t="s">
        <v>228</v>
      </c>
      <c r="D31" s="141" t="s">
        <v>111</v>
      </c>
      <c r="E31" s="142">
        <v>62.8</v>
      </c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2.75" customHeight="1" x14ac:dyDescent="0.3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12.75" customHeight="1" x14ac:dyDescent="0.3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2.75" customHeight="1" x14ac:dyDescent="0.3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2.75" customHeight="1" x14ac:dyDescent="0.3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2.75" customHeight="1" x14ac:dyDescent="0.3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2.75" customHeight="1" x14ac:dyDescent="0.3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2.75" customHeight="1" x14ac:dyDescent="0.3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2.75" customHeight="1" x14ac:dyDescent="0.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2.75" customHeight="1" x14ac:dyDescent="0.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2.75" customHeight="1" x14ac:dyDescent="0.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2.75" customHeight="1" x14ac:dyDescent="0.3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2.75" customHeight="1" x14ac:dyDescent="0.3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2.75" customHeight="1" x14ac:dyDescent="0.3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2.75" customHeight="1" x14ac:dyDescent="0.3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2.75" customHeight="1" x14ac:dyDescent="0.3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2.75" customHeight="1" x14ac:dyDescent="0.3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2.75" customHeight="1" x14ac:dyDescent="0.3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2.75" customHeight="1" x14ac:dyDescent="0.3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2.75" customHeight="1" x14ac:dyDescent="0.3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2.75" customHeight="1" x14ac:dyDescent="0.3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2.75" customHeight="1" x14ac:dyDescent="0.3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2.75" customHeight="1" x14ac:dyDescent="0.3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2.75" customHeight="1" x14ac:dyDescent="0.3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2.75" customHeight="1" x14ac:dyDescent="0.3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2.75" customHeight="1" x14ac:dyDescent="0.3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2.75" customHeight="1" x14ac:dyDescent="0.3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2.75" customHeight="1" x14ac:dyDescent="0.3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2.75" customHeight="1" x14ac:dyDescent="0.3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2.75" customHeight="1" x14ac:dyDescent="0.3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2.75" customHeight="1" x14ac:dyDescent="0.3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2.75" customHeight="1" x14ac:dyDescent="0.3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2.75" customHeight="1" x14ac:dyDescent="0.3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2.75" customHeight="1" x14ac:dyDescent="0.3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2.75" customHeight="1" x14ac:dyDescent="0.3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2.75" customHeight="1" x14ac:dyDescent="0.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2.75" customHeight="1" x14ac:dyDescent="0.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2.75" customHeight="1" x14ac:dyDescent="0.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2.75" customHeight="1" x14ac:dyDescent="0.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2.75" customHeight="1" x14ac:dyDescent="0.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2.75" customHeight="1" x14ac:dyDescent="0.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2.75" customHeight="1" x14ac:dyDescent="0.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2.75" customHeight="1" x14ac:dyDescent="0.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2.75" customHeight="1" x14ac:dyDescent="0.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2.75" customHeight="1" x14ac:dyDescent="0.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2.75" customHeight="1" x14ac:dyDescent="0.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2.75" customHeight="1" x14ac:dyDescent="0.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2.75" customHeight="1" x14ac:dyDescent="0.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2.75" customHeight="1" x14ac:dyDescent="0.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2.75" customHeight="1" x14ac:dyDescent="0.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2.75" customHeight="1" x14ac:dyDescent="0.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2.75" customHeight="1" x14ac:dyDescent="0.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2.75" customHeight="1" x14ac:dyDescent="0.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2.75" customHeight="1" x14ac:dyDescent="0.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2.75" customHeight="1" x14ac:dyDescent="0.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2.75" customHeight="1" x14ac:dyDescent="0.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2.75" customHeight="1" x14ac:dyDescent="0.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2.75" customHeight="1" x14ac:dyDescent="0.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2.75" customHeight="1" x14ac:dyDescent="0.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2.75" customHeight="1" x14ac:dyDescent="0.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2.75" customHeight="1" x14ac:dyDescent="0.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2.75" customHeight="1" x14ac:dyDescent="0.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2.75" customHeight="1" x14ac:dyDescent="0.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2.75" customHeight="1" x14ac:dyDescent="0.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2.75" customHeight="1" x14ac:dyDescent="0.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2.75" customHeight="1" x14ac:dyDescent="0.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2.75" customHeight="1" x14ac:dyDescent="0.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2.75" customHeight="1" x14ac:dyDescent="0.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2.75" customHeight="1" x14ac:dyDescent="0.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2.75" customHeight="1" x14ac:dyDescent="0.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2.75" customHeight="1" x14ac:dyDescent="0.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2.75" customHeight="1" x14ac:dyDescent="0.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2.75" customHeight="1" x14ac:dyDescent="0.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2.75" customHeight="1" x14ac:dyDescent="0.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2.75" customHeight="1" x14ac:dyDescent="0.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2.75" customHeight="1" x14ac:dyDescent="0.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2.75" customHeight="1" x14ac:dyDescent="0.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2.75" customHeight="1" x14ac:dyDescent="0.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2.75" customHeight="1" x14ac:dyDescent="0.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2.75" customHeight="1" x14ac:dyDescent="0.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.75" customHeight="1" x14ac:dyDescent="0.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.75" customHeight="1" x14ac:dyDescent="0.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2.75" customHeight="1" x14ac:dyDescent="0.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2.75" customHeight="1" x14ac:dyDescent="0.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2.75" customHeight="1" x14ac:dyDescent="0.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2.75" customHeight="1" x14ac:dyDescent="0.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2.75" customHeight="1" x14ac:dyDescent="0.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2.75" customHeight="1" x14ac:dyDescent="0.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2.75" customHeight="1" x14ac:dyDescent="0.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2.75" customHeight="1" x14ac:dyDescent="0.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2.75" customHeight="1" x14ac:dyDescent="0.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2.75" customHeight="1" x14ac:dyDescent="0.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2.75" customHeight="1" x14ac:dyDescent="0.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2.75" customHeight="1" x14ac:dyDescent="0.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2.75" customHeight="1" x14ac:dyDescent="0.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2.75" customHeight="1" x14ac:dyDescent="0.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2.75" customHeight="1" x14ac:dyDescent="0.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2.75" customHeight="1" x14ac:dyDescent="0.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2.75" customHeight="1" x14ac:dyDescent="0.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2.75" customHeight="1" x14ac:dyDescent="0.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2.75" customHeight="1" x14ac:dyDescent="0.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2.75" customHeight="1" x14ac:dyDescent="0.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2.75" customHeight="1" x14ac:dyDescent="0.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2.75" customHeight="1" x14ac:dyDescent="0.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2.75" customHeight="1" x14ac:dyDescent="0.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2.75" customHeight="1" x14ac:dyDescent="0.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2.75" customHeight="1" x14ac:dyDescent="0.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2.75" customHeight="1" x14ac:dyDescent="0.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2.75" customHeight="1" x14ac:dyDescent="0.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2.75" customHeight="1" x14ac:dyDescent="0.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2.75" customHeight="1" x14ac:dyDescent="0.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2.75" customHeight="1" x14ac:dyDescent="0.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2.75" customHeight="1" x14ac:dyDescent="0.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2.75" customHeight="1" x14ac:dyDescent="0.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2.75" customHeight="1" x14ac:dyDescent="0.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2.75" customHeight="1" x14ac:dyDescent="0.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2.75" customHeight="1" x14ac:dyDescent="0.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2.75" customHeight="1" x14ac:dyDescent="0.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2.75" customHeight="1" x14ac:dyDescent="0.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2.75" customHeight="1" x14ac:dyDescent="0.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2.75" customHeight="1" x14ac:dyDescent="0.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2.75" customHeight="1" x14ac:dyDescent="0.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2.75" customHeight="1" x14ac:dyDescent="0.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2.75" customHeight="1" x14ac:dyDescent="0.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2.75" customHeight="1" x14ac:dyDescent="0.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2.75" customHeight="1" x14ac:dyDescent="0.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2.75" customHeight="1" x14ac:dyDescent="0.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2.75" customHeight="1" x14ac:dyDescent="0.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2.75" customHeight="1" x14ac:dyDescent="0.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2.75" customHeight="1" x14ac:dyDescent="0.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2.75" customHeight="1" x14ac:dyDescent="0.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2.75" customHeight="1" x14ac:dyDescent="0.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2.75" customHeight="1" x14ac:dyDescent="0.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2.75" customHeight="1" x14ac:dyDescent="0.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2.75" customHeight="1" x14ac:dyDescent="0.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2.75" customHeight="1" x14ac:dyDescent="0.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2.75" customHeight="1" x14ac:dyDescent="0.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2.75" customHeight="1" x14ac:dyDescent="0.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2.75" customHeight="1" x14ac:dyDescent="0.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2.75" customHeight="1" x14ac:dyDescent="0.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2.75" customHeight="1" x14ac:dyDescent="0.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2.75" customHeight="1" x14ac:dyDescent="0.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2.75" customHeight="1" x14ac:dyDescent="0.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2.75" customHeight="1" x14ac:dyDescent="0.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2.75" customHeight="1" x14ac:dyDescent="0.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2.75" customHeight="1" x14ac:dyDescent="0.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2.75" customHeight="1" x14ac:dyDescent="0.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2.75" customHeight="1" x14ac:dyDescent="0.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2.75" customHeight="1" x14ac:dyDescent="0.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2.75" customHeight="1" x14ac:dyDescent="0.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2.75" customHeight="1" x14ac:dyDescent="0.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2.75" customHeight="1" x14ac:dyDescent="0.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2.75" customHeight="1" x14ac:dyDescent="0.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2.75" customHeight="1" x14ac:dyDescent="0.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2.75" customHeight="1" x14ac:dyDescent="0.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2.75" customHeight="1" x14ac:dyDescent="0.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2.75" customHeight="1" x14ac:dyDescent="0.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2.75" customHeight="1" x14ac:dyDescent="0.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2.75" customHeight="1" x14ac:dyDescent="0.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2.75" customHeight="1" x14ac:dyDescent="0.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2.75" customHeight="1" x14ac:dyDescent="0.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2.75" customHeight="1" x14ac:dyDescent="0.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2.75" customHeight="1" x14ac:dyDescent="0.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2.75" customHeight="1" x14ac:dyDescent="0.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2.75" customHeight="1" x14ac:dyDescent="0.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2.75" customHeight="1" x14ac:dyDescent="0.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2.75" customHeight="1" x14ac:dyDescent="0.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2.75" customHeight="1" x14ac:dyDescent="0.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2.75" customHeight="1" x14ac:dyDescent="0.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2.75" customHeight="1" x14ac:dyDescent="0.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2.75" customHeight="1" x14ac:dyDescent="0.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2.75" customHeight="1" x14ac:dyDescent="0.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2.75" customHeight="1" x14ac:dyDescent="0.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2.75" customHeight="1" x14ac:dyDescent="0.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2.75" customHeight="1" x14ac:dyDescent="0.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2.75" customHeight="1" x14ac:dyDescent="0.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2.75" customHeight="1" x14ac:dyDescent="0.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2.75" customHeight="1" x14ac:dyDescent="0.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2.75" customHeight="1" x14ac:dyDescent="0.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2.75" customHeight="1" x14ac:dyDescent="0.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2.75" customHeight="1" x14ac:dyDescent="0.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2.75" customHeight="1" x14ac:dyDescent="0.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2.75" customHeight="1" x14ac:dyDescent="0.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2.75" customHeight="1" x14ac:dyDescent="0.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2.75" customHeight="1" x14ac:dyDescent="0.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2.75" customHeight="1" x14ac:dyDescent="0.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2.75" customHeight="1" x14ac:dyDescent="0.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2.75" customHeight="1" x14ac:dyDescent="0.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.75" customHeight="1" x14ac:dyDescent="0.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.75" customHeight="1" x14ac:dyDescent="0.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2.75" customHeight="1" x14ac:dyDescent="0.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2.75" customHeight="1" x14ac:dyDescent="0.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2.75" customHeight="1" x14ac:dyDescent="0.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2.75" customHeight="1" x14ac:dyDescent="0.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2.75" customHeight="1" x14ac:dyDescent="0.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2.75" customHeight="1" x14ac:dyDescent="0.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2.75" customHeight="1" x14ac:dyDescent="0.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2.75" customHeight="1" x14ac:dyDescent="0.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2.75" customHeight="1" x14ac:dyDescent="0.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2.75" customHeight="1" x14ac:dyDescent="0.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2.75" customHeight="1" x14ac:dyDescent="0.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2.75" customHeight="1" x14ac:dyDescent="0.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2.75" customHeight="1" x14ac:dyDescent="0.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2.75" customHeight="1" x14ac:dyDescent="0.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2.75" customHeight="1" x14ac:dyDescent="0.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2.75" customHeight="1" x14ac:dyDescent="0.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2.75" customHeight="1" x14ac:dyDescent="0.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2.75" customHeight="1" x14ac:dyDescent="0.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2.75" customHeight="1" x14ac:dyDescent="0.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2.75" customHeight="1" x14ac:dyDescent="0.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2.75" customHeight="1" x14ac:dyDescent="0.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2.75" customHeight="1" x14ac:dyDescent="0.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2.75" customHeight="1" x14ac:dyDescent="0.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2.75" customHeight="1" x14ac:dyDescent="0.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2.75" customHeight="1" x14ac:dyDescent="0.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2.75" customHeight="1" x14ac:dyDescent="0.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2.75" customHeight="1" x14ac:dyDescent="0.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2.75" customHeight="1" x14ac:dyDescent="0.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2.75" customHeight="1" x14ac:dyDescent="0.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2.75" customHeight="1" x14ac:dyDescent="0.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2.75" customHeight="1" x14ac:dyDescent="0.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2.75" customHeight="1" x14ac:dyDescent="0.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2.75" customHeight="1" x14ac:dyDescent="0.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2.75" customHeight="1" x14ac:dyDescent="0.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2.75" customHeight="1" x14ac:dyDescent="0.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2.75" customHeight="1" x14ac:dyDescent="0.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2.75" customHeight="1" x14ac:dyDescent="0.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2.75" customHeight="1" x14ac:dyDescent="0.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2.75" customHeight="1" x14ac:dyDescent="0.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2.75" customHeight="1" x14ac:dyDescent="0.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2.75" customHeight="1" x14ac:dyDescent="0.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2.75" customHeight="1" x14ac:dyDescent="0.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2.75" customHeight="1" x14ac:dyDescent="0.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2.75" customHeight="1" x14ac:dyDescent="0.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2.75" customHeight="1" x14ac:dyDescent="0.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2.75" customHeight="1" x14ac:dyDescent="0.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2.75" customHeight="1" x14ac:dyDescent="0.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2.75" customHeight="1" x14ac:dyDescent="0.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2.75" customHeight="1" x14ac:dyDescent="0.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2.75" customHeight="1" x14ac:dyDescent="0.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2.75" customHeight="1" x14ac:dyDescent="0.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2.75" customHeight="1" x14ac:dyDescent="0.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2.75" customHeight="1" x14ac:dyDescent="0.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2.75" customHeight="1" x14ac:dyDescent="0.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2.75" customHeight="1" x14ac:dyDescent="0.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2.75" customHeight="1" x14ac:dyDescent="0.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2.75" customHeight="1" x14ac:dyDescent="0.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2.75" customHeight="1" x14ac:dyDescent="0.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2.75" customHeight="1" x14ac:dyDescent="0.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2.75" customHeight="1" x14ac:dyDescent="0.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2.75" customHeight="1" x14ac:dyDescent="0.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2.75" customHeight="1" x14ac:dyDescent="0.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2.75" customHeight="1" x14ac:dyDescent="0.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2.75" customHeight="1" x14ac:dyDescent="0.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2.75" customHeight="1" x14ac:dyDescent="0.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2.75" customHeight="1" x14ac:dyDescent="0.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2.75" customHeight="1" x14ac:dyDescent="0.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2.75" customHeight="1" x14ac:dyDescent="0.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2.75" customHeight="1" x14ac:dyDescent="0.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2.75" customHeight="1" x14ac:dyDescent="0.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2.75" customHeight="1" x14ac:dyDescent="0.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2.75" customHeight="1" x14ac:dyDescent="0.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2.75" customHeight="1" x14ac:dyDescent="0.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2.75" customHeight="1" x14ac:dyDescent="0.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2.75" customHeight="1" x14ac:dyDescent="0.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2.75" customHeight="1" x14ac:dyDescent="0.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2.75" customHeight="1" x14ac:dyDescent="0.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2.75" customHeight="1" x14ac:dyDescent="0.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2.75" customHeight="1" x14ac:dyDescent="0.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2.75" customHeight="1" x14ac:dyDescent="0.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2.75" customHeight="1" x14ac:dyDescent="0.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2.75" customHeight="1" x14ac:dyDescent="0.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2.75" customHeight="1" x14ac:dyDescent="0.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2.75" customHeight="1" x14ac:dyDescent="0.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2.75" customHeight="1" x14ac:dyDescent="0.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2.75" customHeight="1" x14ac:dyDescent="0.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2.75" customHeight="1" x14ac:dyDescent="0.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2.75" customHeight="1" x14ac:dyDescent="0.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2.75" customHeight="1" x14ac:dyDescent="0.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2.75" customHeight="1" x14ac:dyDescent="0.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2.75" customHeight="1" x14ac:dyDescent="0.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2.75" customHeight="1" x14ac:dyDescent="0.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2.75" customHeight="1" x14ac:dyDescent="0.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2.75" customHeight="1" x14ac:dyDescent="0.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2.75" customHeight="1" x14ac:dyDescent="0.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2.75" customHeight="1" x14ac:dyDescent="0.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2.75" customHeight="1" x14ac:dyDescent="0.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2.75" customHeight="1" x14ac:dyDescent="0.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2.75" customHeight="1" x14ac:dyDescent="0.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2.75" customHeight="1" x14ac:dyDescent="0.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2.75" customHeight="1" x14ac:dyDescent="0.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2.75" customHeight="1" x14ac:dyDescent="0.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2.75" customHeight="1" x14ac:dyDescent="0.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2.75" customHeight="1" x14ac:dyDescent="0.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2.75" customHeight="1" x14ac:dyDescent="0.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2.75" customHeight="1" x14ac:dyDescent="0.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2.75" customHeight="1" x14ac:dyDescent="0.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2.75" customHeight="1" x14ac:dyDescent="0.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2.75" customHeight="1" x14ac:dyDescent="0.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2.75" customHeight="1" x14ac:dyDescent="0.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2.75" customHeight="1" x14ac:dyDescent="0.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2.75" customHeight="1" x14ac:dyDescent="0.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2.75" customHeight="1" x14ac:dyDescent="0.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2.75" customHeight="1" x14ac:dyDescent="0.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2.75" customHeight="1" x14ac:dyDescent="0.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2.75" customHeight="1" x14ac:dyDescent="0.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2.75" customHeight="1" x14ac:dyDescent="0.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2.75" customHeight="1" x14ac:dyDescent="0.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2.75" customHeight="1" x14ac:dyDescent="0.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2.75" customHeight="1" x14ac:dyDescent="0.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2.75" customHeight="1" x14ac:dyDescent="0.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2.75" customHeight="1" x14ac:dyDescent="0.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2.75" customHeight="1" x14ac:dyDescent="0.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2.75" customHeight="1" x14ac:dyDescent="0.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2.75" customHeight="1" x14ac:dyDescent="0.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2.75" customHeight="1" x14ac:dyDescent="0.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2.75" customHeight="1" x14ac:dyDescent="0.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2.75" customHeight="1" x14ac:dyDescent="0.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2.75" customHeight="1" x14ac:dyDescent="0.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2.75" customHeight="1" x14ac:dyDescent="0.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2.75" customHeight="1" x14ac:dyDescent="0.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2.75" customHeight="1" x14ac:dyDescent="0.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2.75" customHeight="1" x14ac:dyDescent="0.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2.75" customHeight="1" x14ac:dyDescent="0.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2.75" customHeight="1" x14ac:dyDescent="0.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2.75" customHeight="1" x14ac:dyDescent="0.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2.75" customHeight="1" x14ac:dyDescent="0.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2.75" customHeight="1" x14ac:dyDescent="0.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2.75" customHeight="1" x14ac:dyDescent="0.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2.75" customHeight="1" x14ac:dyDescent="0.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2.75" customHeight="1" x14ac:dyDescent="0.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2.75" customHeight="1" x14ac:dyDescent="0.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2.75" customHeight="1" x14ac:dyDescent="0.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2.75" customHeight="1" x14ac:dyDescent="0.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2.75" customHeight="1" x14ac:dyDescent="0.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2.75" customHeight="1" x14ac:dyDescent="0.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2.75" customHeight="1" x14ac:dyDescent="0.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2.75" customHeight="1" x14ac:dyDescent="0.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2.75" customHeight="1" x14ac:dyDescent="0.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2.75" customHeight="1" x14ac:dyDescent="0.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2.75" customHeight="1" x14ac:dyDescent="0.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2.75" customHeight="1" x14ac:dyDescent="0.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2.75" customHeight="1" x14ac:dyDescent="0.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2.75" customHeight="1" x14ac:dyDescent="0.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2.75" customHeight="1" x14ac:dyDescent="0.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2.75" customHeight="1" x14ac:dyDescent="0.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2.75" customHeight="1" x14ac:dyDescent="0.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2.75" customHeight="1" x14ac:dyDescent="0.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2.75" customHeight="1" x14ac:dyDescent="0.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2.75" customHeight="1" x14ac:dyDescent="0.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2.75" customHeight="1" x14ac:dyDescent="0.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2.75" customHeight="1" x14ac:dyDescent="0.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2.75" customHeight="1" x14ac:dyDescent="0.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2.75" customHeight="1" x14ac:dyDescent="0.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2.75" customHeight="1" x14ac:dyDescent="0.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2.75" customHeight="1" x14ac:dyDescent="0.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2.75" customHeight="1" x14ac:dyDescent="0.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2.75" customHeight="1" x14ac:dyDescent="0.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2.75" customHeight="1" x14ac:dyDescent="0.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2.75" customHeight="1" x14ac:dyDescent="0.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2.75" customHeight="1" x14ac:dyDescent="0.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2.75" customHeight="1" x14ac:dyDescent="0.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2.75" customHeight="1" x14ac:dyDescent="0.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2.75" customHeight="1" x14ac:dyDescent="0.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2.75" customHeight="1" x14ac:dyDescent="0.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2.75" customHeight="1" x14ac:dyDescent="0.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2.75" customHeight="1" x14ac:dyDescent="0.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2.75" customHeight="1" x14ac:dyDescent="0.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2.75" customHeight="1" x14ac:dyDescent="0.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2.75" customHeight="1" x14ac:dyDescent="0.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2.75" customHeight="1" x14ac:dyDescent="0.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2.75" customHeight="1" x14ac:dyDescent="0.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2.75" customHeight="1" x14ac:dyDescent="0.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2.75" customHeight="1" x14ac:dyDescent="0.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2.75" customHeight="1" x14ac:dyDescent="0.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2.75" customHeight="1" x14ac:dyDescent="0.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2.75" customHeight="1" x14ac:dyDescent="0.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2.75" customHeight="1" x14ac:dyDescent="0.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2.75" customHeight="1" x14ac:dyDescent="0.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2.75" customHeight="1" x14ac:dyDescent="0.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2.75" customHeight="1" x14ac:dyDescent="0.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2.75" customHeight="1" x14ac:dyDescent="0.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2.75" customHeight="1" x14ac:dyDescent="0.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2.75" customHeight="1" x14ac:dyDescent="0.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2.75" customHeight="1" x14ac:dyDescent="0.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2.75" customHeight="1" x14ac:dyDescent="0.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2.75" customHeight="1" x14ac:dyDescent="0.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2.75" customHeight="1" x14ac:dyDescent="0.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2.75" customHeight="1" x14ac:dyDescent="0.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2.75" customHeight="1" x14ac:dyDescent="0.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2.75" customHeight="1" x14ac:dyDescent="0.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2.75" customHeight="1" x14ac:dyDescent="0.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2.75" customHeight="1" x14ac:dyDescent="0.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2.75" customHeight="1" x14ac:dyDescent="0.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2.75" customHeight="1" x14ac:dyDescent="0.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2.75" customHeight="1" x14ac:dyDescent="0.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2.75" customHeight="1" x14ac:dyDescent="0.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2.75" customHeight="1" x14ac:dyDescent="0.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2.75" customHeight="1" x14ac:dyDescent="0.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2.75" customHeight="1" x14ac:dyDescent="0.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2.75" customHeight="1" x14ac:dyDescent="0.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2.75" customHeight="1" x14ac:dyDescent="0.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2.75" customHeight="1" x14ac:dyDescent="0.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2.75" customHeight="1" x14ac:dyDescent="0.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2.75" customHeight="1" x14ac:dyDescent="0.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2.75" customHeight="1" x14ac:dyDescent="0.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2.75" customHeight="1" x14ac:dyDescent="0.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2.75" customHeight="1" x14ac:dyDescent="0.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2.75" customHeight="1" x14ac:dyDescent="0.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2.75" customHeight="1" x14ac:dyDescent="0.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2.75" customHeight="1" x14ac:dyDescent="0.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2.75" customHeight="1" x14ac:dyDescent="0.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2.75" customHeight="1" x14ac:dyDescent="0.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2.75" customHeight="1" x14ac:dyDescent="0.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2.75" customHeight="1" x14ac:dyDescent="0.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2.75" customHeight="1" x14ac:dyDescent="0.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2.75" customHeight="1" x14ac:dyDescent="0.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2.75" customHeight="1" x14ac:dyDescent="0.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2.75" customHeight="1" x14ac:dyDescent="0.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2.75" customHeight="1" x14ac:dyDescent="0.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2.75" customHeight="1" x14ac:dyDescent="0.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2.75" customHeight="1" x14ac:dyDescent="0.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2.75" customHeight="1" x14ac:dyDescent="0.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2.75" customHeight="1" x14ac:dyDescent="0.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2.75" customHeight="1" x14ac:dyDescent="0.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2.75" customHeight="1" x14ac:dyDescent="0.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2.75" customHeight="1" x14ac:dyDescent="0.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2.75" customHeight="1" x14ac:dyDescent="0.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2.75" customHeight="1" x14ac:dyDescent="0.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2.75" customHeight="1" x14ac:dyDescent="0.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2.75" customHeight="1" x14ac:dyDescent="0.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2.75" customHeight="1" x14ac:dyDescent="0.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2.75" customHeight="1" x14ac:dyDescent="0.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2.75" customHeight="1" x14ac:dyDescent="0.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2.75" customHeight="1" x14ac:dyDescent="0.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2.75" customHeight="1" x14ac:dyDescent="0.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2.75" customHeight="1" x14ac:dyDescent="0.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2.75" customHeight="1" x14ac:dyDescent="0.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2.75" customHeight="1" x14ac:dyDescent="0.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2.75" customHeight="1" x14ac:dyDescent="0.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2.75" customHeight="1" x14ac:dyDescent="0.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2.75" customHeight="1" x14ac:dyDescent="0.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2.75" customHeight="1" x14ac:dyDescent="0.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2.75" customHeight="1" x14ac:dyDescent="0.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2.75" customHeight="1" x14ac:dyDescent="0.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2.75" customHeight="1" x14ac:dyDescent="0.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2.75" customHeight="1" x14ac:dyDescent="0.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2.75" customHeight="1" x14ac:dyDescent="0.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2.75" customHeight="1" x14ac:dyDescent="0.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2.75" customHeight="1" x14ac:dyDescent="0.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2.75" customHeight="1" x14ac:dyDescent="0.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2.75" customHeight="1" x14ac:dyDescent="0.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2.75" customHeight="1" x14ac:dyDescent="0.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2.75" customHeight="1" x14ac:dyDescent="0.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2.75" customHeight="1" x14ac:dyDescent="0.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2.75" customHeight="1" x14ac:dyDescent="0.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2.75" customHeight="1" x14ac:dyDescent="0.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2.75" customHeight="1" x14ac:dyDescent="0.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2.75" customHeight="1" x14ac:dyDescent="0.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2.75" customHeight="1" x14ac:dyDescent="0.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2.75" customHeight="1" x14ac:dyDescent="0.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2.75" customHeight="1" x14ac:dyDescent="0.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2.75" customHeight="1" x14ac:dyDescent="0.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2.75" customHeight="1" x14ac:dyDescent="0.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2.75" customHeight="1" x14ac:dyDescent="0.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2.75" customHeight="1" x14ac:dyDescent="0.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2.75" customHeight="1" x14ac:dyDescent="0.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2.75" customHeight="1" x14ac:dyDescent="0.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2.75" customHeight="1" x14ac:dyDescent="0.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2.75" customHeight="1" x14ac:dyDescent="0.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2.75" customHeight="1" x14ac:dyDescent="0.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2.75" customHeight="1" x14ac:dyDescent="0.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2.75" customHeight="1" x14ac:dyDescent="0.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2.75" customHeight="1" x14ac:dyDescent="0.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2.75" customHeight="1" x14ac:dyDescent="0.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2.75" customHeight="1" x14ac:dyDescent="0.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2.75" customHeight="1" x14ac:dyDescent="0.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2.75" customHeight="1" x14ac:dyDescent="0.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2.75" customHeight="1" x14ac:dyDescent="0.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2.75" customHeight="1" x14ac:dyDescent="0.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2.75" customHeight="1" x14ac:dyDescent="0.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2.75" customHeight="1" x14ac:dyDescent="0.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2.75" customHeight="1" x14ac:dyDescent="0.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2.75" customHeight="1" x14ac:dyDescent="0.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2.75" customHeight="1" x14ac:dyDescent="0.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2.75" customHeight="1" x14ac:dyDescent="0.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2.75" customHeight="1" x14ac:dyDescent="0.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2.75" customHeight="1" x14ac:dyDescent="0.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2.75" customHeight="1" x14ac:dyDescent="0.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2.75" customHeight="1" x14ac:dyDescent="0.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2.75" customHeight="1" x14ac:dyDescent="0.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2.75" customHeight="1" x14ac:dyDescent="0.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2.75" customHeight="1" x14ac:dyDescent="0.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2.75" customHeight="1" x14ac:dyDescent="0.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2.75" customHeight="1" x14ac:dyDescent="0.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2.75" customHeight="1" x14ac:dyDescent="0.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2.75" customHeight="1" x14ac:dyDescent="0.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2.75" customHeight="1" x14ac:dyDescent="0.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2.75" customHeight="1" x14ac:dyDescent="0.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2.75" customHeight="1" x14ac:dyDescent="0.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2.75" customHeight="1" x14ac:dyDescent="0.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2.75" customHeight="1" x14ac:dyDescent="0.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2.75" customHeight="1" x14ac:dyDescent="0.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2.75" customHeight="1" x14ac:dyDescent="0.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2.75" customHeight="1" x14ac:dyDescent="0.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2.75" customHeight="1" x14ac:dyDescent="0.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2.75" customHeight="1" x14ac:dyDescent="0.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2.75" customHeight="1" x14ac:dyDescent="0.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2.75" customHeight="1" x14ac:dyDescent="0.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2.75" customHeight="1" x14ac:dyDescent="0.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2.75" customHeight="1" x14ac:dyDescent="0.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2.75" customHeight="1" x14ac:dyDescent="0.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2.75" customHeight="1" x14ac:dyDescent="0.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2.75" customHeight="1" x14ac:dyDescent="0.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2.75" customHeight="1" x14ac:dyDescent="0.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2.75" customHeight="1" x14ac:dyDescent="0.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2.75" customHeight="1" x14ac:dyDescent="0.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2.75" customHeight="1" x14ac:dyDescent="0.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2.75" customHeight="1" x14ac:dyDescent="0.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2.75" customHeight="1" x14ac:dyDescent="0.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2.75" customHeight="1" x14ac:dyDescent="0.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2.75" customHeight="1" x14ac:dyDescent="0.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2.75" customHeight="1" x14ac:dyDescent="0.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2.75" customHeight="1" x14ac:dyDescent="0.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2.75" customHeight="1" x14ac:dyDescent="0.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2.75" customHeight="1" x14ac:dyDescent="0.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2.75" customHeight="1" x14ac:dyDescent="0.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2.75" customHeight="1" x14ac:dyDescent="0.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2.75" customHeight="1" x14ac:dyDescent="0.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2.75" customHeight="1" x14ac:dyDescent="0.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2.75" customHeight="1" x14ac:dyDescent="0.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2.75" customHeight="1" x14ac:dyDescent="0.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2.75" customHeight="1" x14ac:dyDescent="0.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2.75" customHeight="1" x14ac:dyDescent="0.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2.75" customHeight="1" x14ac:dyDescent="0.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2.75" customHeight="1" x14ac:dyDescent="0.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2.75" customHeight="1" x14ac:dyDescent="0.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2.75" customHeight="1" x14ac:dyDescent="0.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2.75" customHeight="1" x14ac:dyDescent="0.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2.75" customHeight="1" x14ac:dyDescent="0.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2.75" customHeight="1" x14ac:dyDescent="0.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2.75" customHeight="1" x14ac:dyDescent="0.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2.75" customHeight="1" x14ac:dyDescent="0.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2.75" customHeight="1" x14ac:dyDescent="0.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2.75" customHeight="1" x14ac:dyDescent="0.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2.75" customHeight="1" x14ac:dyDescent="0.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2.75" customHeight="1" x14ac:dyDescent="0.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2.75" customHeight="1" x14ac:dyDescent="0.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2.75" customHeight="1" x14ac:dyDescent="0.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2.75" customHeight="1" x14ac:dyDescent="0.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2.75" customHeight="1" x14ac:dyDescent="0.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2.75" customHeight="1" x14ac:dyDescent="0.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2.75" customHeight="1" x14ac:dyDescent="0.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2.75" customHeight="1" x14ac:dyDescent="0.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2.75" customHeight="1" x14ac:dyDescent="0.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2.75" customHeight="1" x14ac:dyDescent="0.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2.75" customHeight="1" x14ac:dyDescent="0.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2.75" customHeight="1" x14ac:dyDescent="0.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2.75" customHeight="1" x14ac:dyDescent="0.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2.75" customHeight="1" x14ac:dyDescent="0.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2.75" customHeight="1" x14ac:dyDescent="0.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2.75" customHeight="1" x14ac:dyDescent="0.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2.75" customHeight="1" x14ac:dyDescent="0.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2.75" customHeight="1" x14ac:dyDescent="0.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2.75" customHeight="1" x14ac:dyDescent="0.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2.75" customHeight="1" x14ac:dyDescent="0.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2.75" customHeight="1" x14ac:dyDescent="0.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2.75" customHeight="1" x14ac:dyDescent="0.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2.75" customHeight="1" x14ac:dyDescent="0.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2.75" customHeight="1" x14ac:dyDescent="0.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2.75" customHeight="1" x14ac:dyDescent="0.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2.75" customHeight="1" x14ac:dyDescent="0.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2.75" customHeight="1" x14ac:dyDescent="0.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2.75" customHeight="1" x14ac:dyDescent="0.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2.75" customHeight="1" x14ac:dyDescent="0.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2.75" customHeight="1" x14ac:dyDescent="0.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2.75" customHeight="1" x14ac:dyDescent="0.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2.75" customHeight="1" x14ac:dyDescent="0.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2.75" customHeight="1" x14ac:dyDescent="0.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2.75" customHeight="1" x14ac:dyDescent="0.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2.75" customHeight="1" x14ac:dyDescent="0.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2.75" customHeight="1" x14ac:dyDescent="0.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2.75" customHeight="1" x14ac:dyDescent="0.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2.75" customHeight="1" x14ac:dyDescent="0.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2.75" customHeight="1" x14ac:dyDescent="0.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2.75" customHeight="1" x14ac:dyDescent="0.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2.75" customHeight="1" x14ac:dyDescent="0.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2.75" customHeight="1" x14ac:dyDescent="0.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2.75" customHeight="1" x14ac:dyDescent="0.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2.75" customHeight="1" x14ac:dyDescent="0.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2.75" customHeight="1" x14ac:dyDescent="0.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2.75" customHeight="1" x14ac:dyDescent="0.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2.75" customHeight="1" x14ac:dyDescent="0.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2.75" customHeight="1" x14ac:dyDescent="0.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2.75" customHeight="1" x14ac:dyDescent="0.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2.75" customHeight="1" x14ac:dyDescent="0.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2.75" customHeight="1" x14ac:dyDescent="0.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2.75" customHeight="1" x14ac:dyDescent="0.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2.75" customHeight="1" x14ac:dyDescent="0.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2.75" customHeight="1" x14ac:dyDescent="0.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2.75" customHeight="1" x14ac:dyDescent="0.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2.75" customHeight="1" x14ac:dyDescent="0.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2.75" customHeight="1" x14ac:dyDescent="0.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2.75" customHeight="1" x14ac:dyDescent="0.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2.75" customHeight="1" x14ac:dyDescent="0.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2.75" customHeight="1" x14ac:dyDescent="0.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2.75" customHeight="1" x14ac:dyDescent="0.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2.75" customHeight="1" x14ac:dyDescent="0.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2.75" customHeight="1" x14ac:dyDescent="0.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2.75" customHeight="1" x14ac:dyDescent="0.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2.75" customHeight="1" x14ac:dyDescent="0.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2.75" customHeight="1" x14ac:dyDescent="0.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2.75" customHeight="1" x14ac:dyDescent="0.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2.75" customHeight="1" x14ac:dyDescent="0.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2.75" customHeight="1" x14ac:dyDescent="0.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2.75" customHeight="1" x14ac:dyDescent="0.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2.75" customHeight="1" x14ac:dyDescent="0.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2.75" customHeight="1" x14ac:dyDescent="0.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2.75" customHeight="1" x14ac:dyDescent="0.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2.75" customHeight="1" x14ac:dyDescent="0.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2.75" customHeight="1" x14ac:dyDescent="0.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2.75" customHeight="1" x14ac:dyDescent="0.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2.75" customHeight="1" x14ac:dyDescent="0.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2.75" customHeight="1" x14ac:dyDescent="0.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2.75" customHeight="1" x14ac:dyDescent="0.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2.75" customHeight="1" x14ac:dyDescent="0.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2.75" customHeight="1" x14ac:dyDescent="0.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2.75" customHeight="1" x14ac:dyDescent="0.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2.75" customHeight="1" x14ac:dyDescent="0.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2.75" customHeight="1" x14ac:dyDescent="0.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2.75" customHeight="1" x14ac:dyDescent="0.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2.75" customHeight="1" x14ac:dyDescent="0.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2.75" customHeight="1" x14ac:dyDescent="0.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2.75" customHeight="1" x14ac:dyDescent="0.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2.75" customHeight="1" x14ac:dyDescent="0.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2.75" customHeight="1" x14ac:dyDescent="0.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2.75" customHeight="1" x14ac:dyDescent="0.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2.75" customHeight="1" x14ac:dyDescent="0.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2.75" customHeight="1" x14ac:dyDescent="0.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2.75" customHeight="1" x14ac:dyDescent="0.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2.75" customHeight="1" x14ac:dyDescent="0.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2.75" customHeight="1" x14ac:dyDescent="0.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2.75" customHeight="1" x14ac:dyDescent="0.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2.75" customHeight="1" x14ac:dyDescent="0.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2.75" customHeight="1" x14ac:dyDescent="0.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2.75" customHeight="1" x14ac:dyDescent="0.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2.75" customHeight="1" x14ac:dyDescent="0.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2.75" customHeight="1" x14ac:dyDescent="0.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2.75" customHeight="1" x14ac:dyDescent="0.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2.75" customHeight="1" x14ac:dyDescent="0.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2.75" customHeight="1" x14ac:dyDescent="0.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2.75" customHeight="1" x14ac:dyDescent="0.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2.75" customHeight="1" x14ac:dyDescent="0.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2.75" customHeight="1" x14ac:dyDescent="0.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2.75" customHeight="1" x14ac:dyDescent="0.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2.75" customHeight="1" x14ac:dyDescent="0.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2.75" customHeight="1" x14ac:dyDescent="0.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2.75" customHeight="1" x14ac:dyDescent="0.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2.75" customHeight="1" x14ac:dyDescent="0.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2.75" customHeight="1" x14ac:dyDescent="0.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2.75" customHeight="1" x14ac:dyDescent="0.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2.75" customHeight="1" x14ac:dyDescent="0.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2.75" customHeight="1" x14ac:dyDescent="0.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2.75" customHeight="1" x14ac:dyDescent="0.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2.75" customHeight="1" x14ac:dyDescent="0.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2.75" customHeight="1" x14ac:dyDescent="0.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2.75" customHeight="1" x14ac:dyDescent="0.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2.75" customHeight="1" x14ac:dyDescent="0.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2.75" customHeight="1" x14ac:dyDescent="0.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2.75" customHeight="1" x14ac:dyDescent="0.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2.75" customHeight="1" x14ac:dyDescent="0.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2.75" customHeight="1" x14ac:dyDescent="0.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2.75" customHeight="1" x14ac:dyDescent="0.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2.75" customHeight="1" x14ac:dyDescent="0.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2.75" customHeight="1" x14ac:dyDescent="0.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2.75" customHeight="1" x14ac:dyDescent="0.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2.75" customHeight="1" x14ac:dyDescent="0.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2.75" customHeight="1" x14ac:dyDescent="0.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2.75" customHeight="1" x14ac:dyDescent="0.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2.75" customHeight="1" x14ac:dyDescent="0.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2.75" customHeight="1" x14ac:dyDescent="0.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2.75" customHeight="1" x14ac:dyDescent="0.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2.75" customHeight="1" x14ac:dyDescent="0.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2.75" customHeight="1" x14ac:dyDescent="0.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2.75" customHeight="1" x14ac:dyDescent="0.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2.75" customHeight="1" x14ac:dyDescent="0.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2.75" customHeight="1" x14ac:dyDescent="0.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2.75" customHeight="1" x14ac:dyDescent="0.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2.75" customHeight="1" x14ac:dyDescent="0.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2.75" customHeight="1" x14ac:dyDescent="0.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2.75" customHeight="1" x14ac:dyDescent="0.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2.75" customHeight="1" x14ac:dyDescent="0.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2.75" customHeight="1" x14ac:dyDescent="0.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2.75" customHeight="1" x14ac:dyDescent="0.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2.75" customHeight="1" x14ac:dyDescent="0.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2.75" customHeight="1" x14ac:dyDescent="0.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2.75" customHeight="1" x14ac:dyDescent="0.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2.75" customHeight="1" x14ac:dyDescent="0.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2.75" customHeight="1" x14ac:dyDescent="0.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2.75" customHeight="1" x14ac:dyDescent="0.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2.75" customHeight="1" x14ac:dyDescent="0.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2.75" customHeight="1" x14ac:dyDescent="0.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2.75" customHeight="1" x14ac:dyDescent="0.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2.75" customHeight="1" x14ac:dyDescent="0.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2.75" customHeight="1" x14ac:dyDescent="0.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2.75" customHeight="1" x14ac:dyDescent="0.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2.75" customHeight="1" x14ac:dyDescent="0.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2.75" customHeight="1" x14ac:dyDescent="0.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2.75" customHeight="1" x14ac:dyDescent="0.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2.75" customHeight="1" x14ac:dyDescent="0.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2.75" customHeight="1" x14ac:dyDescent="0.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2.75" customHeight="1" x14ac:dyDescent="0.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2.75" customHeight="1" x14ac:dyDescent="0.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2.75" customHeight="1" x14ac:dyDescent="0.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2.75" customHeight="1" x14ac:dyDescent="0.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2.75" customHeight="1" x14ac:dyDescent="0.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2.75" customHeight="1" x14ac:dyDescent="0.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2.75" customHeight="1" x14ac:dyDescent="0.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2.75" customHeight="1" x14ac:dyDescent="0.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2.75" customHeight="1" x14ac:dyDescent="0.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2.75" customHeight="1" x14ac:dyDescent="0.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2.75" customHeight="1" x14ac:dyDescent="0.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2.75" customHeight="1" x14ac:dyDescent="0.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2.75" customHeight="1" x14ac:dyDescent="0.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2.75" customHeight="1" x14ac:dyDescent="0.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2.75" customHeight="1" x14ac:dyDescent="0.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2.75" customHeight="1" x14ac:dyDescent="0.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2.75" customHeight="1" x14ac:dyDescent="0.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2.75" customHeight="1" x14ac:dyDescent="0.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2.75" customHeight="1" x14ac:dyDescent="0.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2.75" customHeight="1" x14ac:dyDescent="0.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2.75" customHeight="1" x14ac:dyDescent="0.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2.75" customHeight="1" x14ac:dyDescent="0.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2.75" customHeight="1" x14ac:dyDescent="0.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2.75" customHeight="1" x14ac:dyDescent="0.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2.75" customHeight="1" x14ac:dyDescent="0.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2.75" customHeight="1" x14ac:dyDescent="0.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2.75" customHeight="1" x14ac:dyDescent="0.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2.75" customHeight="1" x14ac:dyDescent="0.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2.75" customHeight="1" x14ac:dyDescent="0.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2.75" customHeight="1" x14ac:dyDescent="0.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2.75" customHeight="1" x14ac:dyDescent="0.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2.75" customHeight="1" x14ac:dyDescent="0.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2.75" customHeight="1" x14ac:dyDescent="0.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2.75" customHeight="1" x14ac:dyDescent="0.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2.75" customHeight="1" x14ac:dyDescent="0.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2.75" customHeight="1" x14ac:dyDescent="0.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2.75" customHeight="1" x14ac:dyDescent="0.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2.75" customHeight="1" x14ac:dyDescent="0.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2.75" customHeight="1" x14ac:dyDescent="0.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2.75" customHeight="1" x14ac:dyDescent="0.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2.75" customHeight="1" x14ac:dyDescent="0.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2.75" customHeight="1" x14ac:dyDescent="0.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2.75" customHeight="1" x14ac:dyDescent="0.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2.75" customHeight="1" x14ac:dyDescent="0.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2.75" customHeight="1" x14ac:dyDescent="0.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2.75" customHeight="1" x14ac:dyDescent="0.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2.75" customHeight="1" x14ac:dyDescent="0.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2.75" customHeight="1" x14ac:dyDescent="0.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2.75" customHeight="1" x14ac:dyDescent="0.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2.75" customHeight="1" x14ac:dyDescent="0.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2.75" customHeight="1" x14ac:dyDescent="0.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2.75" customHeight="1" x14ac:dyDescent="0.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2.75" customHeight="1" x14ac:dyDescent="0.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2.75" customHeight="1" x14ac:dyDescent="0.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2.75" customHeight="1" x14ac:dyDescent="0.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2.75" customHeight="1" x14ac:dyDescent="0.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2.75" customHeight="1" x14ac:dyDescent="0.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2.75" customHeight="1" x14ac:dyDescent="0.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2.75" customHeight="1" x14ac:dyDescent="0.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2.75" customHeight="1" x14ac:dyDescent="0.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2.75" customHeight="1" x14ac:dyDescent="0.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2.75" customHeight="1" x14ac:dyDescent="0.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2.75" customHeight="1" x14ac:dyDescent="0.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2.75" customHeight="1" x14ac:dyDescent="0.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2.75" customHeight="1" x14ac:dyDescent="0.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2.75" customHeight="1" x14ac:dyDescent="0.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2.75" customHeight="1" x14ac:dyDescent="0.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2.75" customHeight="1" x14ac:dyDescent="0.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2.75" customHeight="1" x14ac:dyDescent="0.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2.75" customHeight="1" x14ac:dyDescent="0.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2.75" customHeight="1" x14ac:dyDescent="0.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2.75" customHeight="1" x14ac:dyDescent="0.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2.75" customHeight="1" x14ac:dyDescent="0.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2.75" customHeight="1" x14ac:dyDescent="0.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2.75" customHeight="1" x14ac:dyDescent="0.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2.75" customHeight="1" x14ac:dyDescent="0.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2.75" customHeight="1" x14ac:dyDescent="0.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2.75" customHeight="1" x14ac:dyDescent="0.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2.75" customHeight="1" x14ac:dyDescent="0.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2.75" customHeight="1" x14ac:dyDescent="0.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2.75" customHeight="1" x14ac:dyDescent="0.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2.75" customHeight="1" x14ac:dyDescent="0.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2.75" customHeight="1" x14ac:dyDescent="0.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2.75" customHeight="1" x14ac:dyDescent="0.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2.75" customHeight="1" x14ac:dyDescent="0.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2.75" customHeight="1" x14ac:dyDescent="0.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2.75" customHeight="1" x14ac:dyDescent="0.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2.75" customHeight="1" x14ac:dyDescent="0.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2.75" customHeight="1" x14ac:dyDescent="0.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2.75" customHeight="1" x14ac:dyDescent="0.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2.75" customHeight="1" x14ac:dyDescent="0.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2.75" customHeight="1" x14ac:dyDescent="0.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2.75" customHeight="1" x14ac:dyDescent="0.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2.75" customHeight="1" x14ac:dyDescent="0.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2.75" customHeight="1" x14ac:dyDescent="0.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2.75" customHeight="1" x14ac:dyDescent="0.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2.75" customHeight="1" x14ac:dyDescent="0.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2.75" customHeight="1" x14ac:dyDescent="0.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2.75" customHeight="1" x14ac:dyDescent="0.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2.75" customHeight="1" x14ac:dyDescent="0.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2.75" customHeight="1" x14ac:dyDescent="0.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2.75" customHeight="1" x14ac:dyDescent="0.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2.75" customHeight="1" x14ac:dyDescent="0.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2.75" customHeight="1" x14ac:dyDescent="0.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2.75" customHeight="1" x14ac:dyDescent="0.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2.75" customHeight="1" x14ac:dyDescent="0.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2.75" customHeight="1" x14ac:dyDescent="0.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2.75" customHeight="1" x14ac:dyDescent="0.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2.75" customHeight="1" x14ac:dyDescent="0.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2.75" customHeight="1" x14ac:dyDescent="0.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2.75" customHeight="1" x14ac:dyDescent="0.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2.75" customHeight="1" x14ac:dyDescent="0.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2.75" customHeight="1" x14ac:dyDescent="0.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2.75" customHeight="1" x14ac:dyDescent="0.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2.75" customHeight="1" x14ac:dyDescent="0.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2.75" customHeight="1" x14ac:dyDescent="0.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2.75" customHeight="1" x14ac:dyDescent="0.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2.75" customHeight="1" x14ac:dyDescent="0.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2.75" customHeight="1" x14ac:dyDescent="0.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2.75" customHeight="1" x14ac:dyDescent="0.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2.75" customHeight="1" x14ac:dyDescent="0.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2.75" customHeight="1" x14ac:dyDescent="0.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2.75" customHeight="1" x14ac:dyDescent="0.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2.75" customHeight="1" x14ac:dyDescent="0.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2.75" customHeight="1" x14ac:dyDescent="0.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2.75" customHeight="1" x14ac:dyDescent="0.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2.75" customHeight="1" x14ac:dyDescent="0.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2.75" customHeight="1" x14ac:dyDescent="0.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2.75" customHeight="1" x14ac:dyDescent="0.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2.75" customHeight="1" x14ac:dyDescent="0.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2.75" customHeight="1" x14ac:dyDescent="0.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2.75" customHeight="1" x14ac:dyDescent="0.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2.75" customHeight="1" x14ac:dyDescent="0.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2.75" customHeight="1" x14ac:dyDescent="0.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2.75" customHeight="1" x14ac:dyDescent="0.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2.75" customHeight="1" x14ac:dyDescent="0.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2.75" customHeight="1" x14ac:dyDescent="0.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2.75" customHeight="1" x14ac:dyDescent="0.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2.75" customHeight="1" x14ac:dyDescent="0.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2.75" customHeight="1" x14ac:dyDescent="0.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2.75" customHeight="1" x14ac:dyDescent="0.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2.75" customHeight="1" x14ac:dyDescent="0.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2.75" customHeight="1" x14ac:dyDescent="0.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2.75" customHeight="1" x14ac:dyDescent="0.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2.75" customHeight="1" x14ac:dyDescent="0.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2.75" customHeight="1" x14ac:dyDescent="0.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2.75" customHeight="1" x14ac:dyDescent="0.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2.75" customHeight="1" x14ac:dyDescent="0.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2.75" customHeight="1" x14ac:dyDescent="0.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2.75" customHeight="1" x14ac:dyDescent="0.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2.75" customHeight="1" x14ac:dyDescent="0.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2.75" customHeight="1" x14ac:dyDescent="0.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2.75" customHeight="1" x14ac:dyDescent="0.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2.75" customHeight="1" x14ac:dyDescent="0.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2.75" customHeight="1" x14ac:dyDescent="0.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2.75" customHeight="1" x14ac:dyDescent="0.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2.75" customHeight="1" x14ac:dyDescent="0.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2.75" customHeight="1" x14ac:dyDescent="0.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2.75" customHeight="1" x14ac:dyDescent="0.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2.75" customHeight="1" x14ac:dyDescent="0.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2.75" customHeight="1" x14ac:dyDescent="0.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2.75" customHeight="1" x14ac:dyDescent="0.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2.75" customHeight="1" x14ac:dyDescent="0.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2.75" customHeight="1" x14ac:dyDescent="0.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2.75" customHeight="1" x14ac:dyDescent="0.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2.75" customHeight="1" x14ac:dyDescent="0.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2.75" customHeight="1" x14ac:dyDescent="0.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2.75" customHeight="1" x14ac:dyDescent="0.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2.75" customHeight="1" x14ac:dyDescent="0.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2.75" customHeight="1" x14ac:dyDescent="0.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2.75" customHeight="1" x14ac:dyDescent="0.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2.75" customHeight="1" x14ac:dyDescent="0.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2.75" customHeight="1" x14ac:dyDescent="0.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2.75" customHeight="1" x14ac:dyDescent="0.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2.75" customHeight="1" x14ac:dyDescent="0.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2.75" customHeight="1" x14ac:dyDescent="0.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2.75" customHeight="1" x14ac:dyDescent="0.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2.75" customHeight="1" x14ac:dyDescent="0.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2.75" customHeight="1" x14ac:dyDescent="0.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2.75" customHeight="1" x14ac:dyDescent="0.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2.75" customHeight="1" x14ac:dyDescent="0.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2.75" customHeight="1" x14ac:dyDescent="0.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2.75" customHeight="1" x14ac:dyDescent="0.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2.75" customHeight="1" x14ac:dyDescent="0.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2.75" customHeight="1" x14ac:dyDescent="0.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2.75" customHeight="1" x14ac:dyDescent="0.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2.75" customHeight="1" x14ac:dyDescent="0.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2.75" customHeight="1" x14ac:dyDescent="0.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2.75" customHeight="1" x14ac:dyDescent="0.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2.75" customHeight="1" x14ac:dyDescent="0.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2.75" customHeight="1" x14ac:dyDescent="0.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2.75" customHeight="1" x14ac:dyDescent="0.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2.75" customHeight="1" x14ac:dyDescent="0.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2.75" customHeight="1" x14ac:dyDescent="0.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2.75" customHeight="1" x14ac:dyDescent="0.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2.75" customHeight="1" x14ac:dyDescent="0.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2.75" customHeight="1" x14ac:dyDescent="0.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2.75" customHeight="1" x14ac:dyDescent="0.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2.75" customHeight="1" x14ac:dyDescent="0.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2.75" customHeight="1" x14ac:dyDescent="0.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2.75" customHeight="1" x14ac:dyDescent="0.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2.75" customHeight="1" x14ac:dyDescent="0.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2.75" customHeight="1" x14ac:dyDescent="0.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2.75" customHeight="1" x14ac:dyDescent="0.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2.75" customHeight="1" x14ac:dyDescent="0.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2.75" customHeight="1" x14ac:dyDescent="0.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2.75" customHeight="1" x14ac:dyDescent="0.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2.75" customHeight="1" x14ac:dyDescent="0.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2.75" customHeight="1" x14ac:dyDescent="0.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2.75" customHeight="1" x14ac:dyDescent="0.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2.75" customHeight="1" x14ac:dyDescent="0.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2.75" customHeight="1" x14ac:dyDescent="0.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2.75" customHeight="1" x14ac:dyDescent="0.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2.75" customHeight="1" x14ac:dyDescent="0.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2.75" customHeight="1" x14ac:dyDescent="0.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2.75" customHeight="1" x14ac:dyDescent="0.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2.75" customHeight="1" x14ac:dyDescent="0.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2.75" customHeight="1" x14ac:dyDescent="0.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2.75" customHeight="1" x14ac:dyDescent="0.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2.75" customHeight="1" x14ac:dyDescent="0.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2.75" customHeight="1" x14ac:dyDescent="0.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2.75" customHeight="1" x14ac:dyDescent="0.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2.75" customHeight="1" x14ac:dyDescent="0.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2.75" customHeight="1" x14ac:dyDescent="0.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2.75" customHeight="1" x14ac:dyDescent="0.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2.75" customHeight="1" x14ac:dyDescent="0.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2.75" customHeight="1" x14ac:dyDescent="0.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2.75" customHeight="1" x14ac:dyDescent="0.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2.75" customHeight="1" x14ac:dyDescent="0.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2.75" customHeight="1" x14ac:dyDescent="0.3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2.75" customHeight="1" x14ac:dyDescent="0.3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2.75" customHeight="1" x14ac:dyDescent="0.3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2.75" customHeight="1" x14ac:dyDescent="0.3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2.75" customHeight="1" x14ac:dyDescent="0.3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2.75" customHeight="1" x14ac:dyDescent="0.3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2.75" customHeight="1" x14ac:dyDescent="0.3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2.75" customHeight="1" x14ac:dyDescent="0.3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2.75" customHeight="1" x14ac:dyDescent="0.3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2.75" customHeight="1" x14ac:dyDescent="0.3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2.75" customHeight="1" x14ac:dyDescent="0.3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2.75" customHeight="1" x14ac:dyDescent="0.3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2.75" customHeight="1" x14ac:dyDescent="0.3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2.75" customHeight="1" x14ac:dyDescent="0.3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2.75" customHeight="1" x14ac:dyDescent="0.3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2.75" customHeight="1" x14ac:dyDescent="0.3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2.75" customHeight="1" x14ac:dyDescent="0.3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2.75" customHeight="1" x14ac:dyDescent="0.3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2.75" customHeight="1" x14ac:dyDescent="0.3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2.75" customHeight="1" x14ac:dyDescent="0.3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2.75" customHeight="1" x14ac:dyDescent="0.3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2.75" customHeight="1" x14ac:dyDescent="0.3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2.75" customHeight="1" x14ac:dyDescent="0.3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2.75" customHeight="1" x14ac:dyDescent="0.3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2.75" customHeight="1" x14ac:dyDescent="0.3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2.75" customHeight="1" x14ac:dyDescent="0.3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2.75" customHeight="1" x14ac:dyDescent="0.3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2.75" customHeight="1" x14ac:dyDescent="0.3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2.75" customHeight="1" x14ac:dyDescent="0.3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2.75" customHeight="1" x14ac:dyDescent="0.3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9">
    <mergeCell ref="B10:F10"/>
    <mergeCell ref="C11:E12"/>
    <mergeCell ref="A1:G1"/>
    <mergeCell ref="A2:G2"/>
    <mergeCell ref="A3:G3"/>
    <mergeCell ref="A4:G4"/>
    <mergeCell ref="A5:G5"/>
    <mergeCell ref="A6:G6"/>
    <mergeCell ref="B9:J9"/>
  </mergeCells>
  <printOptions horizontalCentered="1"/>
  <pageMargins left="0.25" right="0.25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7.5546875" customWidth="1"/>
    <col min="2" max="2" width="54" customWidth="1"/>
    <col min="3" max="3" width="9.109375" customWidth="1"/>
    <col min="4" max="4" width="15" customWidth="1"/>
    <col min="5" max="5" width="9.109375" customWidth="1"/>
    <col min="6" max="6" width="10.88671875" customWidth="1"/>
    <col min="7" max="13" width="9.109375" customWidth="1"/>
    <col min="14" max="26" width="8.5546875" customWidth="1"/>
  </cols>
  <sheetData>
    <row r="1" spans="1:26" ht="12.75" customHeight="1" x14ac:dyDescent="0.3">
      <c r="A1" s="600" t="s">
        <v>184</v>
      </c>
      <c r="B1" s="543"/>
      <c r="C1" s="543"/>
      <c r="D1" s="543"/>
      <c r="E1" s="543"/>
      <c r="F1" s="543"/>
      <c r="G1" s="143"/>
      <c r="H1" s="143"/>
      <c r="I1" s="143"/>
      <c r="J1" s="143"/>
      <c r="K1" s="143"/>
      <c r="L1" s="143"/>
      <c r="M1" s="143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2.75" customHeight="1" x14ac:dyDescent="0.3">
      <c r="A2" s="600" t="s">
        <v>185</v>
      </c>
      <c r="B2" s="543"/>
      <c r="C2" s="543"/>
      <c r="D2" s="543"/>
      <c r="E2" s="543"/>
      <c r="F2" s="543"/>
      <c r="G2" s="143"/>
      <c r="H2" s="143"/>
      <c r="I2" s="143"/>
      <c r="J2" s="143"/>
      <c r="K2" s="143"/>
      <c r="L2" s="143"/>
      <c r="M2" s="143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2.75" customHeight="1" x14ac:dyDescent="0.3">
      <c r="A3" s="600" t="s">
        <v>229</v>
      </c>
      <c r="B3" s="543"/>
      <c r="C3" s="543"/>
      <c r="D3" s="543"/>
      <c r="E3" s="543"/>
      <c r="F3" s="543"/>
      <c r="G3" s="143"/>
      <c r="H3" s="143"/>
      <c r="I3" s="143"/>
      <c r="J3" s="143"/>
      <c r="K3" s="143"/>
      <c r="L3" s="143"/>
      <c r="M3" s="143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2.75" customHeight="1" x14ac:dyDescent="0.3">
      <c r="A4" s="600" t="s">
        <v>230</v>
      </c>
      <c r="B4" s="543"/>
      <c r="C4" s="543"/>
      <c r="D4" s="543"/>
      <c r="E4" s="543"/>
      <c r="F4" s="543"/>
      <c r="G4" s="143"/>
      <c r="H4" s="143"/>
      <c r="I4" s="143"/>
      <c r="J4" s="143"/>
      <c r="K4" s="143"/>
      <c r="L4" s="143"/>
      <c r="M4" s="143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2.75" customHeight="1" x14ac:dyDescent="0.3">
      <c r="A5" s="600" t="s">
        <v>231</v>
      </c>
      <c r="B5" s="543"/>
      <c r="C5" s="543"/>
      <c r="D5" s="543"/>
      <c r="E5" s="543"/>
      <c r="F5" s="543"/>
      <c r="G5" s="143"/>
      <c r="H5" s="143"/>
      <c r="I5" s="143"/>
      <c r="J5" s="143"/>
      <c r="K5" s="143"/>
      <c r="L5" s="143"/>
      <c r="M5" s="143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2.75" customHeight="1" x14ac:dyDescent="0.3">
      <c r="A6" s="600" t="s">
        <v>232</v>
      </c>
      <c r="B6" s="543"/>
      <c r="C6" s="543"/>
      <c r="D6" s="543"/>
      <c r="E6" s="543"/>
      <c r="F6" s="543"/>
      <c r="G6" s="143"/>
      <c r="H6" s="143"/>
      <c r="I6" s="143"/>
      <c r="J6" s="143"/>
      <c r="K6" s="143"/>
      <c r="L6" s="143"/>
      <c r="M6" s="143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2.75" customHeight="1" x14ac:dyDescent="0.3">
      <c r="A7" s="144"/>
      <c r="B7" s="145"/>
      <c r="C7" s="146"/>
      <c r="D7" s="146"/>
      <c r="E7" s="146"/>
      <c r="F7" s="147"/>
      <c r="G7" s="143"/>
      <c r="H7" s="143"/>
      <c r="I7" s="143"/>
      <c r="J7" s="143"/>
      <c r="K7" s="143"/>
      <c r="L7" s="143"/>
      <c r="M7" s="143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2.75" customHeight="1" x14ac:dyDescent="0.3">
      <c r="A8" s="148"/>
      <c r="B8" s="149"/>
      <c r="C8" s="143"/>
      <c r="D8" s="143"/>
      <c r="E8" s="150"/>
      <c r="F8" s="150"/>
      <c r="G8" s="151"/>
      <c r="H8" s="143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2.75" customHeight="1" x14ac:dyDescent="0.3">
      <c r="A9" s="152" t="s">
        <v>233</v>
      </c>
      <c r="B9" s="153"/>
      <c r="C9" s="153"/>
      <c r="D9" s="153"/>
      <c r="E9" s="154"/>
      <c r="F9" s="155"/>
      <c r="G9" s="156"/>
      <c r="H9" s="157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2.75" customHeight="1" x14ac:dyDescent="0.3">
      <c r="A10" s="602" t="s">
        <v>234</v>
      </c>
      <c r="B10" s="543"/>
      <c r="C10" s="543"/>
      <c r="D10" s="543"/>
      <c r="E10" s="543"/>
      <c r="F10" s="543"/>
      <c r="G10" s="543"/>
      <c r="H10" s="157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12.75" customHeight="1" x14ac:dyDescent="0.3">
      <c r="A11" s="103"/>
      <c r="B11" s="103"/>
      <c r="C11" s="103"/>
      <c r="D11" s="103"/>
      <c r="E11" s="103"/>
      <c r="F11" s="103"/>
      <c r="G11" s="103"/>
      <c r="H11" s="103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12.75" customHeight="1" x14ac:dyDescent="0.3">
      <c r="A12" s="158" t="s">
        <v>5</v>
      </c>
      <c r="B12" s="159" t="s">
        <v>7</v>
      </c>
      <c r="C12" s="159" t="s">
        <v>235</v>
      </c>
      <c r="D12" s="159" t="s">
        <v>236</v>
      </c>
      <c r="E12" s="159" t="s">
        <v>125</v>
      </c>
      <c r="F12" s="160" t="s">
        <v>237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2.75" customHeight="1" x14ac:dyDescent="0.3">
      <c r="A13" s="161" t="s">
        <v>21</v>
      </c>
      <c r="B13" s="162" t="s">
        <v>238</v>
      </c>
      <c r="C13" s="163" t="s">
        <v>13</v>
      </c>
      <c r="D13" s="163" t="s">
        <v>239</v>
      </c>
      <c r="E13" s="163" t="s">
        <v>111</v>
      </c>
      <c r="F13" s="164">
        <v>45.42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2.75" customHeight="1" x14ac:dyDescent="0.3">
      <c r="A14" s="165" t="s">
        <v>22</v>
      </c>
      <c r="B14" s="166" t="s">
        <v>240</v>
      </c>
      <c r="C14" s="167" t="s">
        <v>13</v>
      </c>
      <c r="D14" s="167" t="s">
        <v>241</v>
      </c>
      <c r="E14" s="167" t="s">
        <v>111</v>
      </c>
      <c r="F14" s="168">
        <v>24.096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2.75" customHeight="1" x14ac:dyDescent="0.3">
      <c r="A15" s="169" t="s">
        <v>23</v>
      </c>
      <c r="B15" s="166" t="s">
        <v>242</v>
      </c>
      <c r="C15" s="167" t="s">
        <v>13</v>
      </c>
      <c r="D15" s="167" t="s">
        <v>243</v>
      </c>
      <c r="E15" s="167" t="s">
        <v>111</v>
      </c>
      <c r="F15" s="168">
        <v>36.902999999999999</v>
      </c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12.75" customHeight="1" x14ac:dyDescent="0.3">
      <c r="A16" s="165" t="s">
        <v>24</v>
      </c>
      <c r="B16" s="166" t="s">
        <v>244</v>
      </c>
      <c r="C16" s="167" t="s">
        <v>13</v>
      </c>
      <c r="D16" s="167" t="s">
        <v>245</v>
      </c>
      <c r="E16" s="167" t="s">
        <v>111</v>
      </c>
      <c r="F16" s="168">
        <v>83.728999999999985</v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2.75" customHeight="1" x14ac:dyDescent="0.3">
      <c r="A17" s="169" t="s">
        <v>25</v>
      </c>
      <c r="B17" s="166" t="s">
        <v>246</v>
      </c>
      <c r="C17" s="167" t="s">
        <v>13</v>
      </c>
      <c r="D17" s="167" t="s">
        <v>247</v>
      </c>
      <c r="E17" s="167" t="s">
        <v>73</v>
      </c>
      <c r="F17" s="170">
        <v>1.2</v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2.75" customHeight="1" x14ac:dyDescent="0.3">
      <c r="A18" s="165" t="s">
        <v>26</v>
      </c>
      <c r="B18" s="166" t="s">
        <v>192</v>
      </c>
      <c r="C18" s="167" t="s">
        <v>13</v>
      </c>
      <c r="D18" s="167" t="s">
        <v>248</v>
      </c>
      <c r="E18" s="167" t="s">
        <v>73</v>
      </c>
      <c r="F18" s="170">
        <v>20.900000000000002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2.75" customHeight="1" x14ac:dyDescent="0.3">
      <c r="A19" s="169" t="s">
        <v>27</v>
      </c>
      <c r="B19" s="166" t="s">
        <v>249</v>
      </c>
      <c r="C19" s="167" t="s">
        <v>13</v>
      </c>
      <c r="D19" s="167" t="s">
        <v>250</v>
      </c>
      <c r="E19" s="167" t="s">
        <v>73</v>
      </c>
      <c r="F19" s="170">
        <v>15.6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12.75" customHeight="1" x14ac:dyDescent="0.3">
      <c r="A20" s="165" t="s">
        <v>28</v>
      </c>
      <c r="B20" s="166" t="s">
        <v>193</v>
      </c>
      <c r="C20" s="167" t="s">
        <v>13</v>
      </c>
      <c r="D20" s="167" t="s">
        <v>251</v>
      </c>
      <c r="E20" s="167" t="s">
        <v>73</v>
      </c>
      <c r="F20" s="170">
        <v>2.2000000000000002</v>
      </c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ht="12.75" customHeight="1" x14ac:dyDescent="0.3">
      <c r="A21" s="169" t="s">
        <v>29</v>
      </c>
      <c r="B21" s="166" t="s">
        <v>252</v>
      </c>
      <c r="C21" s="167" t="s">
        <v>13</v>
      </c>
      <c r="D21" s="167" t="s">
        <v>253</v>
      </c>
      <c r="E21" s="167" t="s">
        <v>73</v>
      </c>
      <c r="F21" s="170">
        <v>20.300000000000004</v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</row>
    <row r="22" spans="1:26" ht="12.75" customHeight="1" x14ac:dyDescent="0.3">
      <c r="A22" s="165" t="s">
        <v>254</v>
      </c>
      <c r="B22" s="166" t="s">
        <v>255</v>
      </c>
      <c r="C22" s="167" t="s">
        <v>13</v>
      </c>
      <c r="D22" s="167" t="s">
        <v>256</v>
      </c>
      <c r="E22" s="167" t="s">
        <v>73</v>
      </c>
      <c r="F22" s="170">
        <v>26.2</v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1:26" ht="12.75" customHeight="1" x14ac:dyDescent="0.3">
      <c r="A23" s="171" t="s">
        <v>257</v>
      </c>
      <c r="B23" s="172" t="s">
        <v>194</v>
      </c>
      <c r="C23" s="173" t="s">
        <v>13</v>
      </c>
      <c r="D23" s="173" t="s">
        <v>258</v>
      </c>
      <c r="E23" s="173" t="s">
        <v>73</v>
      </c>
      <c r="F23" s="174">
        <v>85.63</v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</row>
    <row r="24" spans="1:26" ht="12.75" customHeight="1" x14ac:dyDescent="0.3">
      <c r="A24" s="165" t="s">
        <v>259</v>
      </c>
      <c r="B24" s="175" t="s">
        <v>260</v>
      </c>
      <c r="C24" s="167" t="s">
        <v>13</v>
      </c>
      <c r="D24" s="167" t="s">
        <v>261</v>
      </c>
      <c r="E24" s="167" t="s">
        <v>73</v>
      </c>
      <c r="F24" s="176">
        <v>16.899999999999999</v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</row>
    <row r="25" spans="1:26" ht="12.75" customHeight="1" x14ac:dyDescent="0.3">
      <c r="A25" s="177" t="s">
        <v>262</v>
      </c>
      <c r="B25" s="178" t="s">
        <v>263</v>
      </c>
      <c r="C25" s="179" t="s">
        <v>13</v>
      </c>
      <c r="D25" s="179" t="s">
        <v>264</v>
      </c>
      <c r="E25" s="179" t="s">
        <v>111</v>
      </c>
      <c r="F25" s="180">
        <v>9.1120000000000001</v>
      </c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</row>
    <row r="26" spans="1:26" ht="12.75" customHeight="1" x14ac:dyDescent="0.3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</row>
    <row r="27" spans="1:26" ht="12.75" customHeight="1" x14ac:dyDescent="0.3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</row>
    <row r="28" spans="1:26" ht="12.75" customHeight="1" x14ac:dyDescent="0.3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2.75" customHeight="1" x14ac:dyDescent="0.3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2.75" customHeight="1" x14ac:dyDescent="0.3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2.75" customHeight="1" x14ac:dyDescent="0.3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2.75" customHeight="1" x14ac:dyDescent="0.3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12.75" customHeight="1" x14ac:dyDescent="0.3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2.75" customHeight="1" x14ac:dyDescent="0.3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2.75" customHeight="1" x14ac:dyDescent="0.3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2.75" customHeight="1" x14ac:dyDescent="0.3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2.75" customHeight="1" x14ac:dyDescent="0.3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</row>
    <row r="38" spans="1:26" ht="12.75" customHeight="1" x14ac:dyDescent="0.3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</row>
    <row r="39" spans="1:26" ht="12.75" customHeight="1" x14ac:dyDescent="0.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ht="12.75" customHeight="1" x14ac:dyDescent="0.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  <row r="41" spans="1:26" ht="12.75" customHeight="1" x14ac:dyDescent="0.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2.75" customHeight="1" x14ac:dyDescent="0.3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2.75" customHeight="1" x14ac:dyDescent="0.3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12.75" customHeight="1" x14ac:dyDescent="0.3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2.75" customHeight="1" x14ac:dyDescent="0.3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2.75" customHeight="1" x14ac:dyDescent="0.3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2.75" customHeight="1" x14ac:dyDescent="0.3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2.75" customHeight="1" x14ac:dyDescent="0.3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2.75" customHeight="1" x14ac:dyDescent="0.3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2.75" customHeight="1" x14ac:dyDescent="0.3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2.75" customHeight="1" x14ac:dyDescent="0.3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2.75" customHeight="1" x14ac:dyDescent="0.3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2.75" customHeight="1" x14ac:dyDescent="0.3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2.75" customHeight="1" x14ac:dyDescent="0.3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2.75" customHeight="1" x14ac:dyDescent="0.3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2.75" customHeight="1" x14ac:dyDescent="0.3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2.75" customHeight="1" x14ac:dyDescent="0.3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2.75" customHeight="1" x14ac:dyDescent="0.3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2.75" customHeight="1" x14ac:dyDescent="0.3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2.75" customHeight="1" x14ac:dyDescent="0.3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2.75" customHeight="1" x14ac:dyDescent="0.3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2.75" customHeight="1" x14ac:dyDescent="0.3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2.75" customHeight="1" x14ac:dyDescent="0.3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2.75" customHeight="1" x14ac:dyDescent="0.3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2.75" customHeight="1" x14ac:dyDescent="0.3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2.75" customHeight="1" x14ac:dyDescent="0.3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2.75" customHeight="1" x14ac:dyDescent="0.3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2.75" customHeight="1" x14ac:dyDescent="0.3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2.75" customHeight="1" x14ac:dyDescent="0.3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2.75" customHeight="1" x14ac:dyDescent="0.3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2.75" customHeight="1" x14ac:dyDescent="0.3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2.75" customHeight="1" x14ac:dyDescent="0.3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2.75" customHeight="1" x14ac:dyDescent="0.3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2.75" customHeight="1" x14ac:dyDescent="0.3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2.75" customHeight="1" x14ac:dyDescent="0.3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2.75" customHeight="1" x14ac:dyDescent="0.3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2.75" customHeight="1" x14ac:dyDescent="0.3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2.75" customHeight="1" x14ac:dyDescent="0.3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2.75" customHeight="1" x14ac:dyDescent="0.3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2.75" customHeight="1" x14ac:dyDescent="0.3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2.75" customHeight="1" x14ac:dyDescent="0.3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2.75" customHeight="1" x14ac:dyDescent="0.3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2.75" customHeight="1" x14ac:dyDescent="0.3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2.75" customHeight="1" x14ac:dyDescent="0.3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2.75" customHeight="1" x14ac:dyDescent="0.3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2.75" customHeight="1" x14ac:dyDescent="0.3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2.75" customHeight="1" x14ac:dyDescent="0.3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2.75" customHeight="1" x14ac:dyDescent="0.3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2.75" customHeight="1" x14ac:dyDescent="0.3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2.75" customHeight="1" x14ac:dyDescent="0.3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2.75" customHeight="1" x14ac:dyDescent="0.3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2.75" customHeight="1" x14ac:dyDescent="0.3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2.75" customHeight="1" x14ac:dyDescent="0.3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2.75" customHeight="1" x14ac:dyDescent="0.3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2.75" customHeight="1" x14ac:dyDescent="0.3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2.75" customHeight="1" x14ac:dyDescent="0.3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2.75" customHeight="1" x14ac:dyDescent="0.3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2.75" customHeight="1" x14ac:dyDescent="0.3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2.75" customHeight="1" x14ac:dyDescent="0.3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2.75" customHeight="1" x14ac:dyDescent="0.3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2.75" customHeight="1" x14ac:dyDescent="0.3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2.75" customHeight="1" x14ac:dyDescent="0.3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2.75" customHeight="1" x14ac:dyDescent="0.3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2.75" customHeight="1" x14ac:dyDescent="0.3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2.75" customHeight="1" x14ac:dyDescent="0.3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2.75" customHeight="1" x14ac:dyDescent="0.3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2.75" customHeight="1" x14ac:dyDescent="0.3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2.75" customHeight="1" x14ac:dyDescent="0.3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2.75" customHeight="1" x14ac:dyDescent="0.3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2.75" customHeight="1" x14ac:dyDescent="0.3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2.75" customHeight="1" x14ac:dyDescent="0.3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2.75" customHeight="1" x14ac:dyDescent="0.3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2.75" customHeight="1" x14ac:dyDescent="0.3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2.75" customHeight="1" x14ac:dyDescent="0.3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2.75" customHeight="1" x14ac:dyDescent="0.3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2.75" customHeight="1" x14ac:dyDescent="0.3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2.75" customHeight="1" x14ac:dyDescent="0.3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2.75" customHeight="1" x14ac:dyDescent="0.3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2.75" customHeight="1" x14ac:dyDescent="0.3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2.75" customHeight="1" x14ac:dyDescent="0.3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2.75" customHeight="1" x14ac:dyDescent="0.3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2.75" customHeight="1" x14ac:dyDescent="0.3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2.75" customHeight="1" x14ac:dyDescent="0.3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2.75" customHeight="1" x14ac:dyDescent="0.3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2.75" customHeight="1" x14ac:dyDescent="0.3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2.75" customHeight="1" x14ac:dyDescent="0.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2.75" customHeight="1" x14ac:dyDescent="0.3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2.75" customHeight="1" x14ac:dyDescent="0.3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2.75" customHeight="1" x14ac:dyDescent="0.3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2.75" customHeight="1" x14ac:dyDescent="0.3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2.75" customHeight="1" x14ac:dyDescent="0.3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2.75" customHeight="1" x14ac:dyDescent="0.3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2.75" customHeight="1" x14ac:dyDescent="0.3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2.75" customHeight="1" x14ac:dyDescent="0.3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2.75" customHeight="1" x14ac:dyDescent="0.3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2.75" customHeight="1" x14ac:dyDescent="0.3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2.75" customHeight="1" x14ac:dyDescent="0.3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2.75" customHeight="1" x14ac:dyDescent="0.3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2.75" customHeight="1" x14ac:dyDescent="0.3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2.75" customHeight="1" x14ac:dyDescent="0.3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2.75" customHeight="1" x14ac:dyDescent="0.3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2.75" customHeight="1" x14ac:dyDescent="0.3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2.75" customHeight="1" x14ac:dyDescent="0.3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2.75" customHeight="1" x14ac:dyDescent="0.3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2.75" customHeight="1" x14ac:dyDescent="0.3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2.75" customHeight="1" x14ac:dyDescent="0.3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2.75" customHeight="1" x14ac:dyDescent="0.3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2.75" customHeight="1" x14ac:dyDescent="0.3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2.75" customHeight="1" x14ac:dyDescent="0.3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2.75" customHeight="1" x14ac:dyDescent="0.3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2.75" customHeight="1" x14ac:dyDescent="0.3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2.75" customHeight="1" x14ac:dyDescent="0.3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2.75" customHeight="1" x14ac:dyDescent="0.3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2.75" customHeight="1" x14ac:dyDescent="0.3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2.75" customHeight="1" x14ac:dyDescent="0.3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2.75" customHeight="1" x14ac:dyDescent="0.3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2.75" customHeight="1" x14ac:dyDescent="0.3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2.75" customHeight="1" x14ac:dyDescent="0.3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2.75" customHeight="1" x14ac:dyDescent="0.3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2.75" customHeight="1" x14ac:dyDescent="0.3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2.75" customHeight="1" x14ac:dyDescent="0.3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2.75" customHeight="1" x14ac:dyDescent="0.3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2.75" customHeight="1" x14ac:dyDescent="0.3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2.75" customHeight="1" x14ac:dyDescent="0.3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2.75" customHeight="1" x14ac:dyDescent="0.3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2.75" customHeight="1" x14ac:dyDescent="0.3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2.75" customHeight="1" x14ac:dyDescent="0.3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2.75" customHeight="1" x14ac:dyDescent="0.3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2.75" customHeight="1" x14ac:dyDescent="0.3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2.75" customHeight="1" x14ac:dyDescent="0.3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2.75" customHeight="1" x14ac:dyDescent="0.3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2.75" customHeight="1" x14ac:dyDescent="0.3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2.75" customHeight="1" x14ac:dyDescent="0.3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2.75" customHeight="1" x14ac:dyDescent="0.3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2.75" customHeight="1" x14ac:dyDescent="0.3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2.75" customHeight="1" x14ac:dyDescent="0.3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2.75" customHeight="1" x14ac:dyDescent="0.3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2.75" customHeight="1" x14ac:dyDescent="0.3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2.75" customHeight="1" x14ac:dyDescent="0.3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2.75" customHeight="1" x14ac:dyDescent="0.3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2.75" customHeight="1" x14ac:dyDescent="0.3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2.75" customHeight="1" x14ac:dyDescent="0.3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2.75" customHeight="1" x14ac:dyDescent="0.3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2.75" customHeight="1" x14ac:dyDescent="0.3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2.75" customHeight="1" x14ac:dyDescent="0.3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2.75" customHeight="1" x14ac:dyDescent="0.3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2.75" customHeight="1" x14ac:dyDescent="0.3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2.75" customHeight="1" x14ac:dyDescent="0.3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2.75" customHeight="1" x14ac:dyDescent="0.3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2.75" customHeight="1" x14ac:dyDescent="0.3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2.75" customHeight="1" x14ac:dyDescent="0.3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2.75" customHeight="1" x14ac:dyDescent="0.3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2.75" customHeight="1" x14ac:dyDescent="0.3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2.75" customHeight="1" x14ac:dyDescent="0.3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2.75" customHeight="1" x14ac:dyDescent="0.3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2.75" customHeight="1" x14ac:dyDescent="0.3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2.75" customHeight="1" x14ac:dyDescent="0.3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2.75" customHeight="1" x14ac:dyDescent="0.3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2.75" customHeight="1" x14ac:dyDescent="0.3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2.75" customHeight="1" x14ac:dyDescent="0.3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2.75" customHeight="1" x14ac:dyDescent="0.3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2.75" customHeight="1" x14ac:dyDescent="0.3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2.75" customHeight="1" x14ac:dyDescent="0.3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2.75" customHeight="1" x14ac:dyDescent="0.3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2.75" customHeight="1" x14ac:dyDescent="0.3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2.75" customHeight="1" x14ac:dyDescent="0.3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2.75" customHeight="1" x14ac:dyDescent="0.3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2.75" customHeight="1" x14ac:dyDescent="0.3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2.75" customHeight="1" x14ac:dyDescent="0.3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2.75" customHeight="1" x14ac:dyDescent="0.3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2.75" customHeight="1" x14ac:dyDescent="0.3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2.75" customHeight="1" x14ac:dyDescent="0.3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2.75" customHeight="1" x14ac:dyDescent="0.3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2.75" customHeight="1" x14ac:dyDescent="0.3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2.75" customHeight="1" x14ac:dyDescent="0.3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2.75" customHeight="1" x14ac:dyDescent="0.3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2.75" customHeight="1" x14ac:dyDescent="0.3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2.75" customHeight="1" x14ac:dyDescent="0.3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2.75" customHeight="1" x14ac:dyDescent="0.3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2.75" customHeight="1" x14ac:dyDescent="0.3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2.75" customHeight="1" x14ac:dyDescent="0.3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2.75" customHeight="1" x14ac:dyDescent="0.3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2.75" customHeight="1" x14ac:dyDescent="0.3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2.75" customHeight="1" x14ac:dyDescent="0.3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2.75" customHeight="1" x14ac:dyDescent="0.3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2.75" customHeight="1" x14ac:dyDescent="0.3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2.75" customHeight="1" x14ac:dyDescent="0.3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2.75" customHeight="1" x14ac:dyDescent="0.3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2.75" customHeight="1" x14ac:dyDescent="0.3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2.75" customHeight="1" x14ac:dyDescent="0.3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2.75" customHeight="1" x14ac:dyDescent="0.3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2.75" customHeight="1" x14ac:dyDescent="0.3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2.75" customHeight="1" x14ac:dyDescent="0.3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2.75" customHeight="1" x14ac:dyDescent="0.3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2.75" customHeight="1" x14ac:dyDescent="0.3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2.75" customHeight="1" x14ac:dyDescent="0.3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2.75" customHeight="1" x14ac:dyDescent="0.3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2.75" customHeight="1" x14ac:dyDescent="0.3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2.75" customHeight="1" x14ac:dyDescent="0.3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2.75" customHeight="1" x14ac:dyDescent="0.3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2.75" customHeight="1" x14ac:dyDescent="0.3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2.75" customHeight="1" x14ac:dyDescent="0.3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2.75" customHeight="1" x14ac:dyDescent="0.3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2.75" customHeight="1" x14ac:dyDescent="0.3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2.75" customHeight="1" x14ac:dyDescent="0.3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2.75" customHeight="1" x14ac:dyDescent="0.3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2.75" customHeight="1" x14ac:dyDescent="0.3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2.75" customHeight="1" x14ac:dyDescent="0.3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2.75" customHeight="1" x14ac:dyDescent="0.3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2.75" customHeight="1" x14ac:dyDescent="0.3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2.75" customHeight="1" x14ac:dyDescent="0.3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2.75" customHeight="1" x14ac:dyDescent="0.3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2.75" customHeight="1" x14ac:dyDescent="0.3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2.75" customHeight="1" x14ac:dyDescent="0.3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2.75" customHeight="1" x14ac:dyDescent="0.3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2.75" customHeight="1" x14ac:dyDescent="0.3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2.75" customHeight="1" x14ac:dyDescent="0.3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2.75" customHeight="1" x14ac:dyDescent="0.3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2.75" customHeight="1" x14ac:dyDescent="0.3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2.75" customHeight="1" x14ac:dyDescent="0.3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2.75" customHeight="1" x14ac:dyDescent="0.3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2.75" customHeight="1" x14ac:dyDescent="0.3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2.75" customHeight="1" x14ac:dyDescent="0.3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2.75" customHeight="1" x14ac:dyDescent="0.3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2.75" customHeight="1" x14ac:dyDescent="0.3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2.75" customHeight="1" x14ac:dyDescent="0.3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2.75" customHeight="1" x14ac:dyDescent="0.3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2.75" customHeight="1" x14ac:dyDescent="0.3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2.75" customHeight="1" x14ac:dyDescent="0.3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2.75" customHeight="1" x14ac:dyDescent="0.3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2.75" customHeight="1" x14ac:dyDescent="0.3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2.75" customHeight="1" x14ac:dyDescent="0.3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2.75" customHeight="1" x14ac:dyDescent="0.3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2.75" customHeight="1" x14ac:dyDescent="0.3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2.75" customHeight="1" x14ac:dyDescent="0.3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2.75" customHeight="1" x14ac:dyDescent="0.3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2.75" customHeight="1" x14ac:dyDescent="0.3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2.75" customHeight="1" x14ac:dyDescent="0.3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2.75" customHeight="1" x14ac:dyDescent="0.3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2.75" customHeight="1" x14ac:dyDescent="0.3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2.75" customHeight="1" x14ac:dyDescent="0.3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2.75" customHeight="1" x14ac:dyDescent="0.3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2.75" customHeight="1" x14ac:dyDescent="0.3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2.75" customHeight="1" x14ac:dyDescent="0.3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2.75" customHeight="1" x14ac:dyDescent="0.3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2.75" customHeight="1" x14ac:dyDescent="0.3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2.75" customHeight="1" x14ac:dyDescent="0.3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2.75" customHeight="1" x14ac:dyDescent="0.3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2.75" customHeight="1" x14ac:dyDescent="0.3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2.75" customHeight="1" x14ac:dyDescent="0.3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2.75" customHeight="1" x14ac:dyDescent="0.3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2.75" customHeight="1" x14ac:dyDescent="0.3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2.75" customHeight="1" x14ac:dyDescent="0.3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2.75" customHeight="1" x14ac:dyDescent="0.3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2.75" customHeight="1" x14ac:dyDescent="0.3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2.75" customHeight="1" x14ac:dyDescent="0.3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2.75" customHeight="1" x14ac:dyDescent="0.3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2.75" customHeight="1" x14ac:dyDescent="0.3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2.75" customHeight="1" x14ac:dyDescent="0.3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2.75" customHeight="1" x14ac:dyDescent="0.3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2.75" customHeight="1" x14ac:dyDescent="0.3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2.75" customHeight="1" x14ac:dyDescent="0.3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2.75" customHeight="1" x14ac:dyDescent="0.3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2.75" customHeight="1" x14ac:dyDescent="0.3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2.75" customHeight="1" x14ac:dyDescent="0.3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2.75" customHeight="1" x14ac:dyDescent="0.3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2.75" customHeight="1" x14ac:dyDescent="0.3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2.75" customHeight="1" x14ac:dyDescent="0.3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2.75" customHeight="1" x14ac:dyDescent="0.3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2.75" customHeight="1" x14ac:dyDescent="0.3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2.75" customHeight="1" x14ac:dyDescent="0.3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2.75" customHeight="1" x14ac:dyDescent="0.3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2.75" customHeight="1" x14ac:dyDescent="0.3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2.75" customHeight="1" x14ac:dyDescent="0.3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2.75" customHeight="1" x14ac:dyDescent="0.3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2.75" customHeight="1" x14ac:dyDescent="0.3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2.75" customHeight="1" x14ac:dyDescent="0.3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2.75" customHeight="1" x14ac:dyDescent="0.3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2.75" customHeight="1" x14ac:dyDescent="0.3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2.75" customHeight="1" x14ac:dyDescent="0.3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2.75" customHeight="1" x14ac:dyDescent="0.3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2.75" customHeight="1" x14ac:dyDescent="0.3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2.75" customHeight="1" x14ac:dyDescent="0.3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2.75" customHeight="1" x14ac:dyDescent="0.3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2.75" customHeight="1" x14ac:dyDescent="0.3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2.75" customHeight="1" x14ac:dyDescent="0.3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2.75" customHeight="1" x14ac:dyDescent="0.3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2.75" customHeight="1" x14ac:dyDescent="0.3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2.75" customHeight="1" x14ac:dyDescent="0.3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2.75" customHeight="1" x14ac:dyDescent="0.3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2.75" customHeight="1" x14ac:dyDescent="0.3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2.75" customHeight="1" x14ac:dyDescent="0.3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2.75" customHeight="1" x14ac:dyDescent="0.3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2.75" customHeight="1" x14ac:dyDescent="0.3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2.75" customHeight="1" x14ac:dyDescent="0.3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2.75" customHeight="1" x14ac:dyDescent="0.3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2.75" customHeight="1" x14ac:dyDescent="0.3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2.75" customHeight="1" x14ac:dyDescent="0.3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2.75" customHeight="1" x14ac:dyDescent="0.3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2.75" customHeight="1" x14ac:dyDescent="0.3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2.75" customHeight="1" x14ac:dyDescent="0.3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2.75" customHeight="1" x14ac:dyDescent="0.3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2.75" customHeight="1" x14ac:dyDescent="0.3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2.75" customHeight="1" x14ac:dyDescent="0.3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2.75" customHeight="1" x14ac:dyDescent="0.3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2.75" customHeight="1" x14ac:dyDescent="0.3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2.75" customHeight="1" x14ac:dyDescent="0.3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2.75" customHeight="1" x14ac:dyDescent="0.3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2.75" customHeight="1" x14ac:dyDescent="0.3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2.75" customHeight="1" x14ac:dyDescent="0.3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2.75" customHeight="1" x14ac:dyDescent="0.3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2.75" customHeight="1" x14ac:dyDescent="0.3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2.75" customHeight="1" x14ac:dyDescent="0.3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2.75" customHeight="1" x14ac:dyDescent="0.3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2.75" customHeight="1" x14ac:dyDescent="0.3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2.75" customHeight="1" x14ac:dyDescent="0.3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2.75" customHeight="1" x14ac:dyDescent="0.3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2.75" customHeight="1" x14ac:dyDescent="0.3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2.75" customHeight="1" x14ac:dyDescent="0.3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2.75" customHeight="1" x14ac:dyDescent="0.3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2.75" customHeight="1" x14ac:dyDescent="0.3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2.75" customHeight="1" x14ac:dyDescent="0.3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2.75" customHeight="1" x14ac:dyDescent="0.3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2.75" customHeight="1" x14ac:dyDescent="0.3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2.75" customHeight="1" x14ac:dyDescent="0.3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2.75" customHeight="1" x14ac:dyDescent="0.3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2.75" customHeight="1" x14ac:dyDescent="0.3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2.75" customHeight="1" x14ac:dyDescent="0.3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2.75" customHeight="1" x14ac:dyDescent="0.3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2.75" customHeight="1" x14ac:dyDescent="0.3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2.75" customHeight="1" x14ac:dyDescent="0.3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2.75" customHeight="1" x14ac:dyDescent="0.3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2.75" customHeight="1" x14ac:dyDescent="0.3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2.75" customHeight="1" x14ac:dyDescent="0.3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2.75" customHeight="1" x14ac:dyDescent="0.3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2.75" customHeight="1" x14ac:dyDescent="0.3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2.75" customHeight="1" x14ac:dyDescent="0.3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2.75" customHeight="1" x14ac:dyDescent="0.3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2.75" customHeight="1" x14ac:dyDescent="0.3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2.75" customHeight="1" x14ac:dyDescent="0.3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2.75" customHeight="1" x14ac:dyDescent="0.3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2.75" customHeight="1" x14ac:dyDescent="0.3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2.75" customHeight="1" x14ac:dyDescent="0.3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2.75" customHeight="1" x14ac:dyDescent="0.3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2.75" customHeight="1" x14ac:dyDescent="0.3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2.75" customHeight="1" x14ac:dyDescent="0.3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2.75" customHeight="1" x14ac:dyDescent="0.3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2.75" customHeight="1" x14ac:dyDescent="0.3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2.75" customHeight="1" x14ac:dyDescent="0.3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2.75" customHeight="1" x14ac:dyDescent="0.3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2.75" customHeight="1" x14ac:dyDescent="0.3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2.75" customHeight="1" x14ac:dyDescent="0.3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2.75" customHeight="1" x14ac:dyDescent="0.3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2.75" customHeight="1" x14ac:dyDescent="0.3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2.75" customHeight="1" x14ac:dyDescent="0.3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2.75" customHeight="1" x14ac:dyDescent="0.3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2.75" customHeight="1" x14ac:dyDescent="0.3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2.75" customHeight="1" x14ac:dyDescent="0.3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2.75" customHeight="1" x14ac:dyDescent="0.3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2.75" customHeight="1" x14ac:dyDescent="0.3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2.75" customHeight="1" x14ac:dyDescent="0.3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2.75" customHeight="1" x14ac:dyDescent="0.3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2.75" customHeight="1" x14ac:dyDescent="0.3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2.75" customHeight="1" x14ac:dyDescent="0.3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2.75" customHeight="1" x14ac:dyDescent="0.3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2.75" customHeight="1" x14ac:dyDescent="0.3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2.75" customHeight="1" x14ac:dyDescent="0.3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2.75" customHeight="1" x14ac:dyDescent="0.3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2.75" customHeight="1" x14ac:dyDescent="0.3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2.75" customHeight="1" x14ac:dyDescent="0.3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2.75" customHeight="1" x14ac:dyDescent="0.3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2.75" customHeight="1" x14ac:dyDescent="0.3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2.75" customHeight="1" x14ac:dyDescent="0.3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2.75" customHeight="1" x14ac:dyDescent="0.3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2.75" customHeight="1" x14ac:dyDescent="0.3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2.75" customHeight="1" x14ac:dyDescent="0.3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2.75" customHeight="1" x14ac:dyDescent="0.3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2.75" customHeight="1" x14ac:dyDescent="0.3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2.75" customHeight="1" x14ac:dyDescent="0.3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2.75" customHeight="1" x14ac:dyDescent="0.3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2.75" customHeight="1" x14ac:dyDescent="0.3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2.75" customHeight="1" x14ac:dyDescent="0.3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2.75" customHeight="1" x14ac:dyDescent="0.3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2.75" customHeight="1" x14ac:dyDescent="0.3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2.75" customHeight="1" x14ac:dyDescent="0.3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2.75" customHeight="1" x14ac:dyDescent="0.3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2.75" customHeight="1" x14ac:dyDescent="0.3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2.75" customHeight="1" x14ac:dyDescent="0.3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2.75" customHeight="1" x14ac:dyDescent="0.3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2.75" customHeight="1" x14ac:dyDescent="0.3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2.75" customHeight="1" x14ac:dyDescent="0.3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2.75" customHeight="1" x14ac:dyDescent="0.3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2.75" customHeight="1" x14ac:dyDescent="0.3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2.75" customHeight="1" x14ac:dyDescent="0.3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2.75" customHeight="1" x14ac:dyDescent="0.3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2.75" customHeight="1" x14ac:dyDescent="0.3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2.75" customHeight="1" x14ac:dyDescent="0.3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2.75" customHeight="1" x14ac:dyDescent="0.3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2.75" customHeight="1" x14ac:dyDescent="0.3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2.75" customHeight="1" x14ac:dyDescent="0.3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2.75" customHeight="1" x14ac:dyDescent="0.3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2.75" customHeight="1" x14ac:dyDescent="0.3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2.75" customHeight="1" x14ac:dyDescent="0.3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2.75" customHeight="1" x14ac:dyDescent="0.3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2.75" customHeight="1" x14ac:dyDescent="0.3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2.75" customHeight="1" x14ac:dyDescent="0.3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2.75" customHeight="1" x14ac:dyDescent="0.3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2.75" customHeight="1" x14ac:dyDescent="0.3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2.75" customHeight="1" x14ac:dyDescent="0.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2.75" customHeight="1" x14ac:dyDescent="0.3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2.75" customHeight="1" x14ac:dyDescent="0.3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2.75" customHeight="1" x14ac:dyDescent="0.3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2.75" customHeight="1" x14ac:dyDescent="0.3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2.75" customHeight="1" x14ac:dyDescent="0.3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2.75" customHeight="1" x14ac:dyDescent="0.3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2.75" customHeight="1" x14ac:dyDescent="0.3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2.75" customHeight="1" x14ac:dyDescent="0.3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2.75" customHeight="1" x14ac:dyDescent="0.3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2.75" customHeight="1" x14ac:dyDescent="0.3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2.75" customHeight="1" x14ac:dyDescent="0.3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2.75" customHeight="1" x14ac:dyDescent="0.3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2.75" customHeight="1" x14ac:dyDescent="0.3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2.75" customHeight="1" x14ac:dyDescent="0.3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2.75" customHeight="1" x14ac:dyDescent="0.3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2.75" customHeight="1" x14ac:dyDescent="0.3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2.75" customHeight="1" x14ac:dyDescent="0.3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2.75" customHeight="1" x14ac:dyDescent="0.3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2.75" customHeight="1" x14ac:dyDescent="0.3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2.75" customHeight="1" x14ac:dyDescent="0.3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2.75" customHeight="1" x14ac:dyDescent="0.3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2.75" customHeight="1" x14ac:dyDescent="0.3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2.75" customHeight="1" x14ac:dyDescent="0.3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2.75" customHeight="1" x14ac:dyDescent="0.3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2.75" customHeight="1" x14ac:dyDescent="0.3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2.75" customHeight="1" x14ac:dyDescent="0.3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2.75" customHeight="1" x14ac:dyDescent="0.3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2.75" customHeight="1" x14ac:dyDescent="0.3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2.75" customHeight="1" x14ac:dyDescent="0.3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2.75" customHeight="1" x14ac:dyDescent="0.3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2.75" customHeight="1" x14ac:dyDescent="0.3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2.75" customHeight="1" x14ac:dyDescent="0.3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2.75" customHeight="1" x14ac:dyDescent="0.3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2.75" customHeight="1" x14ac:dyDescent="0.3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2.75" customHeight="1" x14ac:dyDescent="0.3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2.75" customHeight="1" x14ac:dyDescent="0.3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2.75" customHeight="1" x14ac:dyDescent="0.3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2.75" customHeight="1" x14ac:dyDescent="0.3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2.75" customHeight="1" x14ac:dyDescent="0.3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2.75" customHeight="1" x14ac:dyDescent="0.3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2.75" customHeight="1" x14ac:dyDescent="0.3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2.75" customHeight="1" x14ac:dyDescent="0.3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2.75" customHeight="1" x14ac:dyDescent="0.3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2.75" customHeight="1" x14ac:dyDescent="0.3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2.75" customHeight="1" x14ac:dyDescent="0.3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2.75" customHeight="1" x14ac:dyDescent="0.3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2.75" customHeight="1" x14ac:dyDescent="0.3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2.75" customHeight="1" x14ac:dyDescent="0.3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2.75" customHeight="1" x14ac:dyDescent="0.3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2.75" customHeight="1" x14ac:dyDescent="0.3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2.75" customHeight="1" x14ac:dyDescent="0.3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2.75" customHeight="1" x14ac:dyDescent="0.3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2.75" customHeight="1" x14ac:dyDescent="0.3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2.75" customHeight="1" x14ac:dyDescent="0.3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2.75" customHeight="1" x14ac:dyDescent="0.3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2.75" customHeight="1" x14ac:dyDescent="0.3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2.75" customHeight="1" x14ac:dyDescent="0.3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2.75" customHeight="1" x14ac:dyDescent="0.3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2.75" customHeight="1" x14ac:dyDescent="0.3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2.75" customHeight="1" x14ac:dyDescent="0.3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2.75" customHeight="1" x14ac:dyDescent="0.3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2.75" customHeight="1" x14ac:dyDescent="0.3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2.75" customHeight="1" x14ac:dyDescent="0.3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2.75" customHeight="1" x14ac:dyDescent="0.3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2.75" customHeight="1" x14ac:dyDescent="0.3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2.75" customHeight="1" x14ac:dyDescent="0.3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2.75" customHeight="1" x14ac:dyDescent="0.3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2.75" customHeight="1" x14ac:dyDescent="0.3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2.75" customHeight="1" x14ac:dyDescent="0.3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2.75" customHeight="1" x14ac:dyDescent="0.3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2.75" customHeight="1" x14ac:dyDescent="0.3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2.75" customHeight="1" x14ac:dyDescent="0.3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2.75" customHeight="1" x14ac:dyDescent="0.3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2.75" customHeight="1" x14ac:dyDescent="0.3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2.75" customHeight="1" x14ac:dyDescent="0.3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2.75" customHeight="1" x14ac:dyDescent="0.3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2.75" customHeight="1" x14ac:dyDescent="0.3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2.75" customHeight="1" x14ac:dyDescent="0.3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2.75" customHeight="1" x14ac:dyDescent="0.3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2.75" customHeight="1" x14ac:dyDescent="0.3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2.75" customHeight="1" x14ac:dyDescent="0.3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2.75" customHeight="1" x14ac:dyDescent="0.3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2.75" customHeight="1" x14ac:dyDescent="0.3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2.75" customHeight="1" x14ac:dyDescent="0.3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2.75" customHeight="1" x14ac:dyDescent="0.3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2.75" customHeight="1" x14ac:dyDescent="0.3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2.75" customHeight="1" x14ac:dyDescent="0.3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2.75" customHeight="1" x14ac:dyDescent="0.3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2.75" customHeight="1" x14ac:dyDescent="0.3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2.75" customHeight="1" x14ac:dyDescent="0.3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2.75" customHeight="1" x14ac:dyDescent="0.3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2.75" customHeight="1" x14ac:dyDescent="0.3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2.75" customHeight="1" x14ac:dyDescent="0.3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2.75" customHeight="1" x14ac:dyDescent="0.3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2.75" customHeight="1" x14ac:dyDescent="0.3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2.75" customHeight="1" x14ac:dyDescent="0.3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2.75" customHeight="1" x14ac:dyDescent="0.3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2.75" customHeight="1" x14ac:dyDescent="0.3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2.75" customHeight="1" x14ac:dyDescent="0.3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2.75" customHeight="1" x14ac:dyDescent="0.3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2.75" customHeight="1" x14ac:dyDescent="0.3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2.75" customHeight="1" x14ac:dyDescent="0.3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2.75" customHeight="1" x14ac:dyDescent="0.3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2.75" customHeight="1" x14ac:dyDescent="0.3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2.75" customHeight="1" x14ac:dyDescent="0.3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2.75" customHeight="1" x14ac:dyDescent="0.3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2.75" customHeight="1" x14ac:dyDescent="0.3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2.75" customHeight="1" x14ac:dyDescent="0.3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2.75" customHeight="1" x14ac:dyDescent="0.3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2.75" customHeight="1" x14ac:dyDescent="0.3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2.75" customHeight="1" x14ac:dyDescent="0.3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2.75" customHeight="1" x14ac:dyDescent="0.3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2.75" customHeight="1" x14ac:dyDescent="0.3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2.75" customHeight="1" x14ac:dyDescent="0.3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2.75" customHeight="1" x14ac:dyDescent="0.3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2.75" customHeight="1" x14ac:dyDescent="0.3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2.75" customHeight="1" x14ac:dyDescent="0.3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2.75" customHeight="1" x14ac:dyDescent="0.3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2.75" customHeight="1" x14ac:dyDescent="0.3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2.75" customHeight="1" x14ac:dyDescent="0.3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2.75" customHeight="1" x14ac:dyDescent="0.3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2.75" customHeight="1" x14ac:dyDescent="0.3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2.75" customHeight="1" x14ac:dyDescent="0.3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2.75" customHeight="1" x14ac:dyDescent="0.3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2.75" customHeight="1" x14ac:dyDescent="0.3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2.75" customHeight="1" x14ac:dyDescent="0.3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2.75" customHeight="1" x14ac:dyDescent="0.3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2.75" customHeight="1" x14ac:dyDescent="0.3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2.75" customHeight="1" x14ac:dyDescent="0.3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2.75" customHeight="1" x14ac:dyDescent="0.3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2.75" customHeight="1" x14ac:dyDescent="0.3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2.75" customHeight="1" x14ac:dyDescent="0.3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2.75" customHeight="1" x14ac:dyDescent="0.3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2.75" customHeight="1" x14ac:dyDescent="0.3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2.75" customHeight="1" x14ac:dyDescent="0.3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2.75" customHeight="1" x14ac:dyDescent="0.3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2.75" customHeight="1" x14ac:dyDescent="0.3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2.75" customHeight="1" x14ac:dyDescent="0.3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2.75" customHeight="1" x14ac:dyDescent="0.3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2.75" customHeight="1" x14ac:dyDescent="0.3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2.75" customHeight="1" x14ac:dyDescent="0.3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2.75" customHeight="1" x14ac:dyDescent="0.3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2.75" customHeight="1" x14ac:dyDescent="0.3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2.75" customHeight="1" x14ac:dyDescent="0.3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2.75" customHeight="1" x14ac:dyDescent="0.3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2.75" customHeight="1" x14ac:dyDescent="0.3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2.75" customHeight="1" x14ac:dyDescent="0.3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2.75" customHeight="1" x14ac:dyDescent="0.3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2.75" customHeight="1" x14ac:dyDescent="0.3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2.75" customHeight="1" x14ac:dyDescent="0.3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2.75" customHeight="1" x14ac:dyDescent="0.3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2.75" customHeight="1" x14ac:dyDescent="0.3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2.75" customHeight="1" x14ac:dyDescent="0.3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2.75" customHeight="1" x14ac:dyDescent="0.3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2.75" customHeight="1" x14ac:dyDescent="0.3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2.75" customHeight="1" x14ac:dyDescent="0.3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2.75" customHeight="1" x14ac:dyDescent="0.3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2.75" customHeight="1" x14ac:dyDescent="0.3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2.75" customHeight="1" x14ac:dyDescent="0.3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2.75" customHeight="1" x14ac:dyDescent="0.3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2.75" customHeight="1" x14ac:dyDescent="0.3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2.75" customHeight="1" x14ac:dyDescent="0.3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2.75" customHeight="1" x14ac:dyDescent="0.3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2.75" customHeight="1" x14ac:dyDescent="0.3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2.75" customHeight="1" x14ac:dyDescent="0.3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2.75" customHeight="1" x14ac:dyDescent="0.3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2.75" customHeight="1" x14ac:dyDescent="0.3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2.75" customHeight="1" x14ac:dyDescent="0.3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2.75" customHeight="1" x14ac:dyDescent="0.3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2.75" customHeight="1" x14ac:dyDescent="0.3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2.75" customHeight="1" x14ac:dyDescent="0.3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2.75" customHeight="1" x14ac:dyDescent="0.3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2.75" customHeight="1" x14ac:dyDescent="0.3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2.75" customHeight="1" x14ac:dyDescent="0.3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2.75" customHeight="1" x14ac:dyDescent="0.3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2.75" customHeight="1" x14ac:dyDescent="0.3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2.75" customHeight="1" x14ac:dyDescent="0.3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2.75" customHeight="1" x14ac:dyDescent="0.3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2.75" customHeight="1" x14ac:dyDescent="0.3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2.75" customHeight="1" x14ac:dyDescent="0.3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2.75" customHeight="1" x14ac:dyDescent="0.3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2.75" customHeight="1" x14ac:dyDescent="0.3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2.75" customHeight="1" x14ac:dyDescent="0.3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2.75" customHeight="1" x14ac:dyDescent="0.3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2.75" customHeight="1" x14ac:dyDescent="0.3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2.75" customHeight="1" x14ac:dyDescent="0.3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2.75" customHeight="1" x14ac:dyDescent="0.3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2.75" customHeight="1" x14ac:dyDescent="0.3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2.75" customHeight="1" x14ac:dyDescent="0.3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2.75" customHeight="1" x14ac:dyDescent="0.3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2.75" customHeight="1" x14ac:dyDescent="0.3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2.75" customHeight="1" x14ac:dyDescent="0.3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2.75" customHeight="1" x14ac:dyDescent="0.3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2.75" customHeight="1" x14ac:dyDescent="0.3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2.75" customHeight="1" x14ac:dyDescent="0.3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2.75" customHeight="1" x14ac:dyDescent="0.3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2.75" customHeight="1" x14ac:dyDescent="0.3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2.75" customHeight="1" x14ac:dyDescent="0.3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2.75" customHeight="1" x14ac:dyDescent="0.3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2.75" customHeight="1" x14ac:dyDescent="0.3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2.75" customHeight="1" x14ac:dyDescent="0.3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2.75" customHeight="1" x14ac:dyDescent="0.3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2.75" customHeight="1" x14ac:dyDescent="0.3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2.75" customHeight="1" x14ac:dyDescent="0.3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2.75" customHeight="1" x14ac:dyDescent="0.3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2.75" customHeight="1" x14ac:dyDescent="0.3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2.75" customHeight="1" x14ac:dyDescent="0.3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2.75" customHeight="1" x14ac:dyDescent="0.3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2.75" customHeight="1" x14ac:dyDescent="0.3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2.75" customHeight="1" x14ac:dyDescent="0.3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2.75" customHeight="1" x14ac:dyDescent="0.3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2.75" customHeight="1" x14ac:dyDescent="0.3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2.75" customHeight="1" x14ac:dyDescent="0.3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2.75" customHeight="1" x14ac:dyDescent="0.3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2.75" customHeight="1" x14ac:dyDescent="0.3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2.75" customHeight="1" x14ac:dyDescent="0.3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2.75" customHeight="1" x14ac:dyDescent="0.3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2.75" customHeight="1" x14ac:dyDescent="0.3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2.75" customHeight="1" x14ac:dyDescent="0.3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2.75" customHeight="1" x14ac:dyDescent="0.3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2.75" customHeight="1" x14ac:dyDescent="0.3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2.75" customHeight="1" x14ac:dyDescent="0.3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2.75" customHeight="1" x14ac:dyDescent="0.3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2.75" customHeight="1" x14ac:dyDescent="0.3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2.75" customHeight="1" x14ac:dyDescent="0.3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2.75" customHeight="1" x14ac:dyDescent="0.3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2.75" customHeight="1" x14ac:dyDescent="0.3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2.75" customHeight="1" x14ac:dyDescent="0.3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2.75" customHeight="1" x14ac:dyDescent="0.3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2.75" customHeight="1" x14ac:dyDescent="0.3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2.75" customHeight="1" x14ac:dyDescent="0.3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2.75" customHeight="1" x14ac:dyDescent="0.3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2.75" customHeight="1" x14ac:dyDescent="0.3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2.75" customHeight="1" x14ac:dyDescent="0.3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2.75" customHeight="1" x14ac:dyDescent="0.3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2.75" customHeight="1" x14ac:dyDescent="0.3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2.75" customHeight="1" x14ac:dyDescent="0.3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2.75" customHeight="1" x14ac:dyDescent="0.3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2.75" customHeight="1" x14ac:dyDescent="0.3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2.75" customHeight="1" x14ac:dyDescent="0.3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2.75" customHeight="1" x14ac:dyDescent="0.3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2.75" customHeight="1" x14ac:dyDescent="0.3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2.75" customHeight="1" x14ac:dyDescent="0.3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2.75" customHeight="1" x14ac:dyDescent="0.3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2.75" customHeight="1" x14ac:dyDescent="0.3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2.75" customHeight="1" x14ac:dyDescent="0.3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2.75" customHeight="1" x14ac:dyDescent="0.3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2.75" customHeight="1" x14ac:dyDescent="0.3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2.75" customHeight="1" x14ac:dyDescent="0.3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2.75" customHeight="1" x14ac:dyDescent="0.3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2.75" customHeight="1" x14ac:dyDescent="0.3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2.75" customHeight="1" x14ac:dyDescent="0.3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2.75" customHeight="1" x14ac:dyDescent="0.3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2.75" customHeight="1" x14ac:dyDescent="0.3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2.75" customHeight="1" x14ac:dyDescent="0.3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2.75" customHeight="1" x14ac:dyDescent="0.3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2.75" customHeight="1" x14ac:dyDescent="0.3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2.75" customHeight="1" x14ac:dyDescent="0.3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2.75" customHeight="1" x14ac:dyDescent="0.3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2.75" customHeight="1" x14ac:dyDescent="0.3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2.75" customHeight="1" x14ac:dyDescent="0.3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2.75" customHeight="1" x14ac:dyDescent="0.3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2.75" customHeight="1" x14ac:dyDescent="0.3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2.75" customHeight="1" x14ac:dyDescent="0.3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2.75" customHeight="1" x14ac:dyDescent="0.3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2.75" customHeight="1" x14ac:dyDescent="0.3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2.75" customHeight="1" x14ac:dyDescent="0.3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2.75" customHeight="1" x14ac:dyDescent="0.3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2.75" customHeight="1" x14ac:dyDescent="0.3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2.75" customHeight="1" x14ac:dyDescent="0.3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2.75" customHeight="1" x14ac:dyDescent="0.3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2.75" customHeight="1" x14ac:dyDescent="0.3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2.75" customHeight="1" x14ac:dyDescent="0.3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2.75" customHeight="1" x14ac:dyDescent="0.3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2.75" customHeight="1" x14ac:dyDescent="0.3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2.75" customHeight="1" x14ac:dyDescent="0.3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2.75" customHeight="1" x14ac:dyDescent="0.3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2.75" customHeight="1" x14ac:dyDescent="0.3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2.75" customHeight="1" x14ac:dyDescent="0.3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2.75" customHeight="1" x14ac:dyDescent="0.3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2.75" customHeight="1" x14ac:dyDescent="0.3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2.75" customHeight="1" x14ac:dyDescent="0.3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2.75" customHeight="1" x14ac:dyDescent="0.3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2.75" customHeight="1" x14ac:dyDescent="0.3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2.75" customHeight="1" x14ac:dyDescent="0.3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2.75" customHeight="1" x14ac:dyDescent="0.3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2.75" customHeight="1" x14ac:dyDescent="0.3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2.75" customHeight="1" x14ac:dyDescent="0.3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2.75" customHeight="1" x14ac:dyDescent="0.3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2.75" customHeight="1" x14ac:dyDescent="0.3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2.75" customHeight="1" x14ac:dyDescent="0.3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2.75" customHeight="1" x14ac:dyDescent="0.3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2.75" customHeight="1" x14ac:dyDescent="0.3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2.75" customHeight="1" x14ac:dyDescent="0.3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2.75" customHeight="1" x14ac:dyDescent="0.3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2.75" customHeight="1" x14ac:dyDescent="0.3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2.75" customHeight="1" x14ac:dyDescent="0.3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2.75" customHeight="1" x14ac:dyDescent="0.3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2.75" customHeight="1" x14ac:dyDescent="0.3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2.75" customHeight="1" x14ac:dyDescent="0.3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2.75" customHeight="1" x14ac:dyDescent="0.3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2.75" customHeight="1" x14ac:dyDescent="0.3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2.75" customHeight="1" x14ac:dyDescent="0.3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2.75" customHeight="1" x14ac:dyDescent="0.3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2.75" customHeight="1" x14ac:dyDescent="0.3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2.75" customHeight="1" x14ac:dyDescent="0.3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2.75" customHeight="1" x14ac:dyDescent="0.3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2.75" customHeight="1" x14ac:dyDescent="0.3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2.75" customHeight="1" x14ac:dyDescent="0.3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2.75" customHeight="1" x14ac:dyDescent="0.3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2.75" customHeight="1" x14ac:dyDescent="0.3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2.75" customHeight="1" x14ac:dyDescent="0.3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2.75" customHeight="1" x14ac:dyDescent="0.3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2.75" customHeight="1" x14ac:dyDescent="0.3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2.75" customHeight="1" x14ac:dyDescent="0.3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2.75" customHeight="1" x14ac:dyDescent="0.3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2.75" customHeight="1" x14ac:dyDescent="0.3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2.75" customHeight="1" x14ac:dyDescent="0.3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2.75" customHeight="1" x14ac:dyDescent="0.3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2.75" customHeight="1" x14ac:dyDescent="0.3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2.75" customHeight="1" x14ac:dyDescent="0.3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2.75" customHeight="1" x14ac:dyDescent="0.3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2.75" customHeight="1" x14ac:dyDescent="0.3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2.75" customHeight="1" x14ac:dyDescent="0.3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2.75" customHeight="1" x14ac:dyDescent="0.3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2.75" customHeight="1" x14ac:dyDescent="0.3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2.75" customHeight="1" x14ac:dyDescent="0.3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2.75" customHeight="1" x14ac:dyDescent="0.3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2.75" customHeight="1" x14ac:dyDescent="0.3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2.75" customHeight="1" x14ac:dyDescent="0.3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2.75" customHeight="1" x14ac:dyDescent="0.3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2.75" customHeight="1" x14ac:dyDescent="0.3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2.75" customHeight="1" x14ac:dyDescent="0.3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2.75" customHeight="1" x14ac:dyDescent="0.3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2.75" customHeight="1" x14ac:dyDescent="0.3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2.75" customHeight="1" x14ac:dyDescent="0.3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2.75" customHeight="1" x14ac:dyDescent="0.3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2.75" customHeight="1" x14ac:dyDescent="0.3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2.75" customHeight="1" x14ac:dyDescent="0.3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2.75" customHeight="1" x14ac:dyDescent="0.3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2.75" customHeight="1" x14ac:dyDescent="0.3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2.75" customHeight="1" x14ac:dyDescent="0.3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2.75" customHeight="1" x14ac:dyDescent="0.3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2.75" customHeight="1" x14ac:dyDescent="0.3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2.75" customHeight="1" x14ac:dyDescent="0.3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2.75" customHeight="1" x14ac:dyDescent="0.3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2.75" customHeight="1" x14ac:dyDescent="0.3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2.75" customHeight="1" x14ac:dyDescent="0.3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2.75" customHeight="1" x14ac:dyDescent="0.3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2.75" customHeight="1" x14ac:dyDescent="0.3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2.75" customHeight="1" x14ac:dyDescent="0.3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2.75" customHeight="1" x14ac:dyDescent="0.3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2.75" customHeight="1" x14ac:dyDescent="0.3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2.75" customHeight="1" x14ac:dyDescent="0.3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2.75" customHeight="1" x14ac:dyDescent="0.3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2.75" customHeight="1" x14ac:dyDescent="0.3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2.75" customHeight="1" x14ac:dyDescent="0.3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2.75" customHeight="1" x14ac:dyDescent="0.3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2.75" customHeight="1" x14ac:dyDescent="0.3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2.75" customHeight="1" x14ac:dyDescent="0.3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2.75" customHeight="1" x14ac:dyDescent="0.3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2.75" customHeight="1" x14ac:dyDescent="0.3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2.75" customHeight="1" x14ac:dyDescent="0.3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2.75" customHeight="1" x14ac:dyDescent="0.3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2.75" customHeight="1" x14ac:dyDescent="0.3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2.75" customHeight="1" x14ac:dyDescent="0.3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2.75" customHeight="1" x14ac:dyDescent="0.3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2.75" customHeight="1" x14ac:dyDescent="0.3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2.75" customHeight="1" x14ac:dyDescent="0.3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2.75" customHeight="1" x14ac:dyDescent="0.3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2.75" customHeight="1" x14ac:dyDescent="0.3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2.75" customHeight="1" x14ac:dyDescent="0.3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2.75" customHeight="1" x14ac:dyDescent="0.3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2.75" customHeight="1" x14ac:dyDescent="0.3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2.75" customHeight="1" x14ac:dyDescent="0.3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2.75" customHeight="1" x14ac:dyDescent="0.3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2.75" customHeight="1" x14ac:dyDescent="0.3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2.75" customHeight="1" x14ac:dyDescent="0.3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2.75" customHeight="1" x14ac:dyDescent="0.3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2.75" customHeight="1" x14ac:dyDescent="0.3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2.75" customHeight="1" x14ac:dyDescent="0.3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2.75" customHeight="1" x14ac:dyDescent="0.3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2.75" customHeight="1" x14ac:dyDescent="0.3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2.75" customHeight="1" x14ac:dyDescent="0.3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2.75" customHeight="1" x14ac:dyDescent="0.3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2.75" customHeight="1" x14ac:dyDescent="0.3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2.75" customHeight="1" x14ac:dyDescent="0.3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2.75" customHeight="1" x14ac:dyDescent="0.3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2.75" customHeight="1" x14ac:dyDescent="0.3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2.75" customHeight="1" x14ac:dyDescent="0.3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2.75" customHeight="1" x14ac:dyDescent="0.3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2.75" customHeight="1" x14ac:dyDescent="0.3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2.75" customHeight="1" x14ac:dyDescent="0.3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2.75" customHeight="1" x14ac:dyDescent="0.3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2.75" customHeight="1" x14ac:dyDescent="0.3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2.75" customHeight="1" x14ac:dyDescent="0.3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2.75" customHeight="1" x14ac:dyDescent="0.3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2.75" customHeight="1" x14ac:dyDescent="0.3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2.75" customHeight="1" x14ac:dyDescent="0.3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2.75" customHeight="1" x14ac:dyDescent="0.3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2.75" customHeight="1" x14ac:dyDescent="0.3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2.75" customHeight="1" x14ac:dyDescent="0.3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2.75" customHeight="1" x14ac:dyDescent="0.3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2.75" customHeight="1" x14ac:dyDescent="0.3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2.75" customHeight="1" x14ac:dyDescent="0.3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2.75" customHeight="1" x14ac:dyDescent="0.3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2.75" customHeight="1" x14ac:dyDescent="0.3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2.75" customHeight="1" x14ac:dyDescent="0.3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2.75" customHeight="1" x14ac:dyDescent="0.3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2.75" customHeight="1" x14ac:dyDescent="0.3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2.75" customHeight="1" x14ac:dyDescent="0.3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2.75" customHeight="1" x14ac:dyDescent="0.3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2.75" customHeight="1" x14ac:dyDescent="0.3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2.75" customHeight="1" x14ac:dyDescent="0.3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2.75" customHeight="1" x14ac:dyDescent="0.3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2.75" customHeight="1" x14ac:dyDescent="0.3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2.75" customHeight="1" x14ac:dyDescent="0.3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2.75" customHeight="1" x14ac:dyDescent="0.3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2.75" customHeight="1" x14ac:dyDescent="0.3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2.75" customHeight="1" x14ac:dyDescent="0.3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2.75" customHeight="1" x14ac:dyDescent="0.3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2.75" customHeight="1" x14ac:dyDescent="0.3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2.75" customHeight="1" x14ac:dyDescent="0.3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2.75" customHeight="1" x14ac:dyDescent="0.3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2.75" customHeight="1" x14ac:dyDescent="0.3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2.75" customHeight="1" x14ac:dyDescent="0.3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2.75" customHeight="1" x14ac:dyDescent="0.3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2.75" customHeight="1" x14ac:dyDescent="0.3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2.75" customHeight="1" x14ac:dyDescent="0.3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2.75" customHeight="1" x14ac:dyDescent="0.3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2.75" customHeight="1" x14ac:dyDescent="0.3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2.75" customHeight="1" x14ac:dyDescent="0.3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2.75" customHeight="1" x14ac:dyDescent="0.3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2.75" customHeight="1" x14ac:dyDescent="0.3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2.75" customHeight="1" x14ac:dyDescent="0.3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2.75" customHeight="1" x14ac:dyDescent="0.3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2.75" customHeight="1" x14ac:dyDescent="0.3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2.75" customHeight="1" x14ac:dyDescent="0.3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2.75" customHeight="1" x14ac:dyDescent="0.3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2.75" customHeight="1" x14ac:dyDescent="0.3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2.75" customHeight="1" x14ac:dyDescent="0.3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2.75" customHeight="1" x14ac:dyDescent="0.3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2.75" customHeight="1" x14ac:dyDescent="0.3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2.75" customHeight="1" x14ac:dyDescent="0.3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2.75" customHeight="1" x14ac:dyDescent="0.3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2.75" customHeight="1" x14ac:dyDescent="0.3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2.75" customHeight="1" x14ac:dyDescent="0.3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2.75" customHeight="1" x14ac:dyDescent="0.3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2.75" customHeight="1" x14ac:dyDescent="0.3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2.75" customHeight="1" x14ac:dyDescent="0.3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2.75" customHeight="1" x14ac:dyDescent="0.3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2.75" customHeight="1" x14ac:dyDescent="0.3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2.75" customHeight="1" x14ac:dyDescent="0.3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2.75" customHeight="1" x14ac:dyDescent="0.3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2.75" customHeight="1" x14ac:dyDescent="0.3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2.75" customHeight="1" x14ac:dyDescent="0.3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2.75" customHeight="1" x14ac:dyDescent="0.3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2.75" customHeight="1" x14ac:dyDescent="0.3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2.75" customHeight="1" x14ac:dyDescent="0.3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2.75" customHeight="1" x14ac:dyDescent="0.3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2.75" customHeight="1" x14ac:dyDescent="0.3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2.75" customHeight="1" x14ac:dyDescent="0.3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2.75" customHeight="1" x14ac:dyDescent="0.3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2.75" customHeight="1" x14ac:dyDescent="0.3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2.75" customHeight="1" x14ac:dyDescent="0.3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2.75" customHeight="1" x14ac:dyDescent="0.3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2.75" customHeight="1" x14ac:dyDescent="0.3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2.75" customHeight="1" x14ac:dyDescent="0.3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2.75" customHeight="1" x14ac:dyDescent="0.3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2.75" customHeight="1" x14ac:dyDescent="0.3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2.75" customHeight="1" x14ac:dyDescent="0.3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2.75" customHeight="1" x14ac:dyDescent="0.3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2.75" customHeight="1" x14ac:dyDescent="0.3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2.75" customHeight="1" x14ac:dyDescent="0.3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2.75" customHeight="1" x14ac:dyDescent="0.3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2.75" customHeight="1" x14ac:dyDescent="0.3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2.75" customHeight="1" x14ac:dyDescent="0.3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2.75" customHeight="1" x14ac:dyDescent="0.3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2.75" customHeight="1" x14ac:dyDescent="0.3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2.75" customHeight="1" x14ac:dyDescent="0.3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2.75" customHeight="1" x14ac:dyDescent="0.3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2.75" customHeight="1" x14ac:dyDescent="0.3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2.75" customHeight="1" x14ac:dyDescent="0.3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2.75" customHeight="1" x14ac:dyDescent="0.3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2.75" customHeight="1" x14ac:dyDescent="0.3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2.75" customHeight="1" x14ac:dyDescent="0.3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2.75" customHeight="1" x14ac:dyDescent="0.3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2.75" customHeight="1" x14ac:dyDescent="0.3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2.75" customHeight="1" x14ac:dyDescent="0.3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2.75" customHeight="1" x14ac:dyDescent="0.3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2.75" customHeight="1" x14ac:dyDescent="0.3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2.75" customHeight="1" x14ac:dyDescent="0.3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2.75" customHeight="1" x14ac:dyDescent="0.3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2.75" customHeight="1" x14ac:dyDescent="0.3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2.75" customHeight="1" x14ac:dyDescent="0.3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2.75" customHeight="1" x14ac:dyDescent="0.3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2.75" customHeight="1" x14ac:dyDescent="0.3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2.75" customHeight="1" x14ac:dyDescent="0.3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2.75" customHeight="1" x14ac:dyDescent="0.3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2.75" customHeight="1" x14ac:dyDescent="0.3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2.75" customHeight="1" x14ac:dyDescent="0.3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2.75" customHeight="1" x14ac:dyDescent="0.3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2.75" customHeight="1" x14ac:dyDescent="0.3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2.75" customHeight="1" x14ac:dyDescent="0.3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2.75" customHeight="1" x14ac:dyDescent="0.3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2.75" customHeight="1" x14ac:dyDescent="0.3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2.75" customHeight="1" x14ac:dyDescent="0.3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2.75" customHeight="1" x14ac:dyDescent="0.3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2.75" customHeight="1" x14ac:dyDescent="0.3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2.75" customHeight="1" x14ac:dyDescent="0.3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2.75" customHeight="1" x14ac:dyDescent="0.3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2.75" customHeight="1" x14ac:dyDescent="0.3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2.75" customHeight="1" x14ac:dyDescent="0.3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2.75" customHeight="1" x14ac:dyDescent="0.3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2.75" customHeight="1" x14ac:dyDescent="0.3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2.75" customHeight="1" x14ac:dyDescent="0.3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2.75" customHeight="1" x14ac:dyDescent="0.3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2.75" customHeight="1" x14ac:dyDescent="0.3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2.75" customHeight="1" x14ac:dyDescent="0.3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2.75" customHeight="1" x14ac:dyDescent="0.3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2.75" customHeight="1" x14ac:dyDescent="0.3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2.75" customHeight="1" x14ac:dyDescent="0.3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2.75" customHeight="1" x14ac:dyDescent="0.3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2.75" customHeight="1" x14ac:dyDescent="0.3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2.75" customHeight="1" x14ac:dyDescent="0.3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2.75" customHeight="1" x14ac:dyDescent="0.3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2.75" customHeight="1" x14ac:dyDescent="0.3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2.75" customHeight="1" x14ac:dyDescent="0.3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2.75" customHeight="1" x14ac:dyDescent="0.3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2.75" customHeight="1" x14ac:dyDescent="0.3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2.75" customHeight="1" x14ac:dyDescent="0.3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2.75" customHeight="1" x14ac:dyDescent="0.3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2.75" customHeight="1" x14ac:dyDescent="0.3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2.75" customHeight="1" x14ac:dyDescent="0.3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2.75" customHeight="1" x14ac:dyDescent="0.3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2.75" customHeight="1" x14ac:dyDescent="0.3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2.75" customHeight="1" x14ac:dyDescent="0.3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2.75" customHeight="1" x14ac:dyDescent="0.3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2.75" customHeight="1" x14ac:dyDescent="0.3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2.75" customHeight="1" x14ac:dyDescent="0.3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2.75" customHeight="1" x14ac:dyDescent="0.3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2.75" customHeight="1" x14ac:dyDescent="0.3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2.75" customHeight="1" x14ac:dyDescent="0.3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2.75" customHeight="1" x14ac:dyDescent="0.3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2.75" customHeight="1" x14ac:dyDescent="0.3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2.75" customHeight="1" x14ac:dyDescent="0.3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2.75" customHeight="1" x14ac:dyDescent="0.3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2.75" customHeight="1" x14ac:dyDescent="0.3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2.75" customHeight="1" x14ac:dyDescent="0.3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2.75" customHeight="1" x14ac:dyDescent="0.3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2.75" customHeight="1" x14ac:dyDescent="0.3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7">
    <mergeCell ref="A6:F6"/>
    <mergeCell ref="A10:G10"/>
    <mergeCell ref="A1:F1"/>
    <mergeCell ref="A2:F2"/>
    <mergeCell ref="A3:F3"/>
    <mergeCell ref="A4:F4"/>
    <mergeCell ref="A5:F5"/>
  </mergeCells>
  <printOptions horizontalCentered="1"/>
  <pageMargins left="0.51181102362204722" right="0.51181102362204722" top="0.78740157480314965" bottom="0.78740157480314965" header="0" footer="0"/>
  <pageSetup paperSize="9" scale="92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00"/>
  <sheetViews>
    <sheetView workbookViewId="0"/>
  </sheetViews>
  <sheetFormatPr defaultColWidth="14.44140625" defaultRowHeight="15" customHeight="1" x14ac:dyDescent="0.3"/>
  <cols>
    <col min="1" max="3" width="8.5546875" customWidth="1"/>
    <col min="4" max="4" width="18.5546875" customWidth="1"/>
    <col min="5" max="5" width="17.33203125" customWidth="1"/>
    <col min="6" max="6" width="18.5546875" customWidth="1"/>
    <col min="7" max="7" width="8.5546875" customWidth="1"/>
    <col min="8" max="8" width="9.109375" customWidth="1"/>
    <col min="9" max="9" width="10.44140625" customWidth="1"/>
    <col min="10" max="26" width="8.5546875" customWidth="1"/>
  </cols>
  <sheetData>
    <row r="1" spans="2:9" ht="14.4" x14ac:dyDescent="0.3">
      <c r="B1" s="600" t="s">
        <v>184</v>
      </c>
      <c r="C1" s="543"/>
      <c r="D1" s="543"/>
      <c r="E1" s="543"/>
      <c r="F1" s="543"/>
      <c r="G1" s="543"/>
      <c r="H1" s="543"/>
      <c r="I1" s="543"/>
    </row>
    <row r="2" spans="2:9" ht="14.4" x14ac:dyDescent="0.3">
      <c r="B2" s="600" t="s">
        <v>185</v>
      </c>
      <c r="C2" s="543"/>
      <c r="D2" s="543"/>
      <c r="E2" s="543"/>
      <c r="F2" s="543"/>
      <c r="G2" s="543"/>
      <c r="H2" s="543"/>
      <c r="I2" s="543"/>
    </row>
    <row r="3" spans="2:9" ht="14.4" x14ac:dyDescent="0.3">
      <c r="B3" s="600" t="s">
        <v>229</v>
      </c>
      <c r="C3" s="543"/>
      <c r="D3" s="543"/>
      <c r="E3" s="543"/>
      <c r="F3" s="543"/>
      <c r="G3" s="543"/>
      <c r="H3" s="543"/>
      <c r="I3" s="543"/>
    </row>
    <row r="4" spans="2:9" ht="14.4" x14ac:dyDescent="0.3">
      <c r="B4" s="600" t="s">
        <v>230</v>
      </c>
      <c r="C4" s="543"/>
      <c r="D4" s="543"/>
      <c r="E4" s="543"/>
      <c r="F4" s="543"/>
      <c r="G4" s="543"/>
      <c r="H4" s="543"/>
      <c r="I4" s="543"/>
    </row>
    <row r="5" spans="2:9" ht="14.4" x14ac:dyDescent="0.3">
      <c r="B5" s="600" t="s">
        <v>231</v>
      </c>
      <c r="C5" s="543"/>
      <c r="D5" s="543"/>
      <c r="E5" s="543"/>
      <c r="F5" s="543"/>
      <c r="G5" s="543"/>
      <c r="H5" s="543"/>
      <c r="I5" s="543"/>
    </row>
    <row r="6" spans="2:9" ht="14.4" x14ac:dyDescent="0.3">
      <c r="B6" s="600" t="s">
        <v>232</v>
      </c>
      <c r="C6" s="543"/>
      <c r="D6" s="543"/>
      <c r="E6" s="543"/>
      <c r="F6" s="543"/>
      <c r="G6" s="543"/>
      <c r="H6" s="543"/>
      <c r="I6" s="543"/>
    </row>
    <row r="7" spans="2:9" ht="14.4" x14ac:dyDescent="0.3">
      <c r="B7" s="181"/>
      <c r="C7" s="181"/>
      <c r="D7" s="181"/>
      <c r="E7" s="181"/>
      <c r="F7" s="181"/>
      <c r="G7" s="181"/>
      <c r="H7" s="181"/>
      <c r="I7" s="181"/>
    </row>
    <row r="8" spans="2:9" ht="14.4" x14ac:dyDescent="0.3">
      <c r="B8" s="182" t="s">
        <v>265</v>
      </c>
      <c r="C8" s="182"/>
      <c r="D8" s="182"/>
      <c r="E8" s="181"/>
      <c r="F8" s="181"/>
      <c r="G8" s="181"/>
      <c r="H8" s="181"/>
      <c r="I8" s="181"/>
    </row>
    <row r="9" spans="2:9" ht="14.4" x14ac:dyDescent="0.3">
      <c r="B9" s="603" t="s">
        <v>266</v>
      </c>
      <c r="C9" s="543"/>
      <c r="D9" s="543"/>
      <c r="E9" s="543"/>
      <c r="F9" s="543"/>
      <c r="G9" s="543"/>
      <c r="H9" s="543"/>
      <c r="I9" s="543"/>
    </row>
    <row r="10" spans="2:9" ht="14.4" x14ac:dyDescent="0.3">
      <c r="B10" s="604" t="s">
        <v>267</v>
      </c>
      <c r="C10" s="543"/>
      <c r="D10" s="543"/>
      <c r="E10" s="543"/>
      <c r="F10" s="543"/>
      <c r="G10" s="543"/>
      <c r="H10" s="543"/>
      <c r="I10" s="543"/>
    </row>
    <row r="11" spans="2:9" ht="14.4" x14ac:dyDescent="0.3">
      <c r="B11" s="123"/>
      <c r="C11" s="183"/>
      <c r="D11" s="183"/>
      <c r="E11" s="183"/>
      <c r="F11" s="183"/>
      <c r="G11" s="183"/>
      <c r="H11" s="183"/>
      <c r="I11" s="183"/>
    </row>
    <row r="12" spans="2:9" ht="14.4" x14ac:dyDescent="0.3">
      <c r="B12" s="605" t="s">
        <v>268</v>
      </c>
      <c r="C12" s="606"/>
      <c r="D12" s="606"/>
      <c r="E12" s="606"/>
      <c r="F12" s="606"/>
      <c r="G12" s="606"/>
      <c r="H12" s="606"/>
      <c r="I12" s="607"/>
    </row>
    <row r="13" spans="2:9" ht="14.4" x14ac:dyDescent="0.3">
      <c r="B13" s="608" t="s">
        <v>269</v>
      </c>
      <c r="C13" s="543"/>
      <c r="D13" s="543"/>
      <c r="E13" s="543"/>
      <c r="F13" s="543"/>
      <c r="G13" s="543"/>
      <c r="H13" s="543"/>
      <c r="I13" s="609"/>
    </row>
    <row r="14" spans="2:9" ht="14.4" x14ac:dyDescent="0.3">
      <c r="B14" s="610" t="s">
        <v>270</v>
      </c>
      <c r="C14" s="611"/>
      <c r="D14" s="611"/>
      <c r="E14" s="611"/>
      <c r="F14" s="611"/>
      <c r="G14" s="611"/>
      <c r="H14" s="611"/>
      <c r="I14" s="612"/>
    </row>
    <row r="15" spans="2:9" ht="14.4" x14ac:dyDescent="0.3">
      <c r="B15" s="613" t="s">
        <v>271</v>
      </c>
      <c r="C15" s="614"/>
      <c r="D15" s="614"/>
      <c r="E15" s="614"/>
      <c r="F15" s="614"/>
      <c r="G15" s="615"/>
      <c r="H15" s="616">
        <v>140.77799999999999</v>
      </c>
      <c r="I15" s="617"/>
    </row>
    <row r="16" spans="2:9" ht="14.4" x14ac:dyDescent="0.3">
      <c r="B16" s="613" t="s">
        <v>272</v>
      </c>
      <c r="C16" s="614"/>
      <c r="D16" s="614"/>
      <c r="E16" s="614"/>
      <c r="F16" s="614"/>
      <c r="G16" s="615"/>
      <c r="H16" s="616">
        <v>6.6</v>
      </c>
      <c r="I16" s="617"/>
    </row>
    <row r="17" spans="2:10" ht="14.4" x14ac:dyDescent="0.3">
      <c r="B17" s="613" t="s">
        <v>273</v>
      </c>
      <c r="C17" s="614"/>
      <c r="D17" s="614"/>
      <c r="E17" s="614"/>
      <c r="F17" s="614"/>
      <c r="G17" s="615"/>
      <c r="H17" s="616">
        <v>13.4</v>
      </c>
      <c r="I17" s="617"/>
    </row>
    <row r="18" spans="2:10" ht="14.4" x14ac:dyDescent="0.3">
      <c r="B18" s="613" t="s">
        <v>274</v>
      </c>
      <c r="C18" s="614"/>
      <c r="D18" s="614"/>
      <c r="E18" s="614"/>
      <c r="F18" s="614"/>
      <c r="G18" s="615"/>
      <c r="H18" s="616">
        <v>305.50416799999994</v>
      </c>
      <c r="I18" s="617"/>
    </row>
    <row r="19" spans="2:10" ht="14.4" x14ac:dyDescent="0.3">
      <c r="B19" s="613" t="s">
        <v>275</v>
      </c>
      <c r="C19" s="614"/>
      <c r="D19" s="614"/>
      <c r="E19" s="614"/>
      <c r="F19" s="614"/>
      <c r="G19" s="615"/>
      <c r="H19" s="616">
        <v>275.20416799999992</v>
      </c>
      <c r="I19" s="617"/>
    </row>
    <row r="20" spans="2:10" ht="14.4" x14ac:dyDescent="0.3">
      <c r="B20" s="613" t="s">
        <v>276</v>
      </c>
      <c r="C20" s="614"/>
      <c r="D20" s="614"/>
      <c r="E20" s="614"/>
      <c r="F20" s="614"/>
      <c r="G20" s="615"/>
      <c r="H20" s="616">
        <v>952.70020000000022</v>
      </c>
      <c r="I20" s="617"/>
    </row>
    <row r="21" spans="2:10" ht="15.75" customHeight="1" x14ac:dyDescent="0.3">
      <c r="B21" s="624" t="s">
        <v>277</v>
      </c>
      <c r="C21" s="625"/>
      <c r="D21" s="625"/>
      <c r="E21" s="625"/>
      <c r="F21" s="625"/>
      <c r="G21" s="626"/>
      <c r="H21" s="627">
        <v>1145.2902000000001</v>
      </c>
      <c r="I21" s="628"/>
    </row>
    <row r="22" spans="2:10" ht="15.75" customHeight="1" x14ac:dyDescent="0.3">
      <c r="B22" s="624" t="s">
        <v>270</v>
      </c>
      <c r="C22" s="625"/>
      <c r="D22" s="625"/>
      <c r="E22" s="625"/>
      <c r="F22" s="625"/>
      <c r="G22" s="626"/>
      <c r="H22" s="627">
        <v>2097.9904000000006</v>
      </c>
      <c r="I22" s="628"/>
    </row>
    <row r="23" spans="2:10" ht="15.75" customHeight="1" x14ac:dyDescent="0.3"/>
    <row r="24" spans="2:10" ht="15.75" customHeight="1" x14ac:dyDescent="0.3">
      <c r="B24" s="184" t="s">
        <v>278</v>
      </c>
      <c r="C24" s="185" t="s">
        <v>279</v>
      </c>
      <c r="D24" s="185" t="s">
        <v>7</v>
      </c>
      <c r="E24" s="185" t="s">
        <v>280</v>
      </c>
      <c r="F24" s="185" t="s">
        <v>281</v>
      </c>
      <c r="G24" s="185" t="s">
        <v>72</v>
      </c>
      <c r="H24" s="185" t="s">
        <v>282</v>
      </c>
      <c r="I24" s="186" t="s">
        <v>283</v>
      </c>
    </row>
    <row r="25" spans="2:10" ht="15" customHeight="1" x14ac:dyDescent="0.3">
      <c r="B25" s="187">
        <v>1</v>
      </c>
      <c r="C25" s="188">
        <v>4</v>
      </c>
      <c r="D25" s="188" t="s">
        <v>284</v>
      </c>
      <c r="E25" s="188">
        <v>313</v>
      </c>
      <c r="F25" s="188">
        <v>1.252</v>
      </c>
      <c r="G25" s="188">
        <v>0.55588799999999994</v>
      </c>
      <c r="H25" s="188">
        <v>5.03</v>
      </c>
      <c r="I25" s="189">
        <v>6.2975600000000007</v>
      </c>
      <c r="J25" s="190"/>
    </row>
    <row r="26" spans="2:10" ht="15" customHeight="1" x14ac:dyDescent="0.3">
      <c r="B26" s="191">
        <v>2</v>
      </c>
      <c r="C26" s="192">
        <v>2</v>
      </c>
      <c r="D26" s="192" t="s">
        <v>284</v>
      </c>
      <c r="E26" s="192">
        <v>4831</v>
      </c>
      <c r="F26" s="192">
        <v>9.6620000000000008</v>
      </c>
      <c r="G26" s="188">
        <v>4.2899279999999997</v>
      </c>
      <c r="H26" s="192">
        <v>5.03</v>
      </c>
      <c r="I26" s="193">
        <v>48.599860000000007</v>
      </c>
    </row>
    <row r="27" spans="2:10" ht="15.75" customHeight="1" x14ac:dyDescent="0.3">
      <c r="B27" s="191">
        <v>3</v>
      </c>
      <c r="C27" s="192">
        <v>4</v>
      </c>
      <c r="D27" s="192" t="s">
        <v>284</v>
      </c>
      <c r="E27" s="192">
        <v>745</v>
      </c>
      <c r="F27" s="192">
        <v>2.98</v>
      </c>
      <c r="G27" s="188">
        <v>1.3231199999999999</v>
      </c>
      <c r="H27" s="192">
        <v>5.03</v>
      </c>
      <c r="I27" s="193">
        <v>14.9894</v>
      </c>
    </row>
    <row r="28" spans="2:10" ht="15.75" customHeight="1" x14ac:dyDescent="0.3">
      <c r="B28" s="191">
        <v>4</v>
      </c>
      <c r="C28" s="192">
        <v>4</v>
      </c>
      <c r="D28" s="192" t="s">
        <v>284</v>
      </c>
      <c r="E28" s="192">
        <v>601</v>
      </c>
      <c r="F28" s="192">
        <v>2.4039999999999999</v>
      </c>
      <c r="G28" s="188">
        <v>1.0673759999999999</v>
      </c>
      <c r="H28" s="192">
        <v>5.03</v>
      </c>
      <c r="I28" s="193">
        <v>12.09212</v>
      </c>
    </row>
    <row r="29" spans="2:10" ht="15.75" customHeight="1" x14ac:dyDescent="0.3">
      <c r="B29" s="191">
        <v>5</v>
      </c>
      <c r="C29" s="192">
        <v>4</v>
      </c>
      <c r="D29" s="192" t="s">
        <v>284</v>
      </c>
      <c r="E29" s="192">
        <v>5871</v>
      </c>
      <c r="F29" s="192">
        <v>23.484000000000002</v>
      </c>
      <c r="G29" s="188">
        <v>10.426895999999999</v>
      </c>
      <c r="H29" s="192">
        <v>5.03</v>
      </c>
      <c r="I29" s="193">
        <v>118.12452000000002</v>
      </c>
    </row>
    <row r="30" spans="2:10" ht="15" customHeight="1" x14ac:dyDescent="0.3">
      <c r="B30" s="191">
        <v>6</v>
      </c>
      <c r="C30" s="192">
        <v>4</v>
      </c>
      <c r="D30" s="192" t="s">
        <v>284</v>
      </c>
      <c r="E30" s="192">
        <v>690</v>
      </c>
      <c r="F30" s="192">
        <v>2.76</v>
      </c>
      <c r="G30" s="188">
        <v>1.2254399999999999</v>
      </c>
      <c r="H30" s="192">
        <v>5.03</v>
      </c>
      <c r="I30" s="193">
        <v>13.8828</v>
      </c>
    </row>
    <row r="31" spans="2:10" ht="15.75" customHeight="1" x14ac:dyDescent="0.3">
      <c r="B31" s="191">
        <v>7</v>
      </c>
      <c r="C31" s="192">
        <v>2</v>
      </c>
      <c r="D31" s="192" t="s">
        <v>284</v>
      </c>
      <c r="E31" s="192">
        <v>4758</v>
      </c>
      <c r="F31" s="192">
        <v>9.516</v>
      </c>
      <c r="G31" s="188">
        <v>4.225104</v>
      </c>
      <c r="H31" s="192">
        <v>5.03</v>
      </c>
      <c r="I31" s="193">
        <v>47.865480000000005</v>
      </c>
    </row>
    <row r="32" spans="2:10" ht="15.75" customHeight="1" x14ac:dyDescent="0.3">
      <c r="B32" s="191">
        <v>8</v>
      </c>
      <c r="C32" s="192">
        <v>2</v>
      </c>
      <c r="D32" s="192" t="s">
        <v>284</v>
      </c>
      <c r="E32" s="192">
        <v>1116</v>
      </c>
      <c r="F32" s="192">
        <v>2.2320000000000002</v>
      </c>
      <c r="G32" s="188">
        <v>0.991008</v>
      </c>
      <c r="H32" s="192">
        <v>5.03</v>
      </c>
      <c r="I32" s="193">
        <v>11.226960000000002</v>
      </c>
    </row>
    <row r="33" spans="2:9" ht="15.75" customHeight="1" x14ac:dyDescent="0.3">
      <c r="B33" s="191">
        <v>9</v>
      </c>
      <c r="C33" s="192">
        <v>2</v>
      </c>
      <c r="D33" s="192" t="s">
        <v>284</v>
      </c>
      <c r="E33" s="192">
        <v>3373</v>
      </c>
      <c r="F33" s="192">
        <v>6.7460000000000004</v>
      </c>
      <c r="G33" s="188">
        <v>2.9952239999999999</v>
      </c>
      <c r="H33" s="192">
        <v>5.03</v>
      </c>
      <c r="I33" s="193">
        <v>33.932380000000002</v>
      </c>
    </row>
    <row r="34" spans="2:9" ht="15.75" customHeight="1" x14ac:dyDescent="0.3">
      <c r="B34" s="191">
        <v>10</v>
      </c>
      <c r="C34" s="192">
        <v>2</v>
      </c>
      <c r="D34" s="192" t="s">
        <v>284</v>
      </c>
      <c r="E34" s="192">
        <v>2363</v>
      </c>
      <c r="F34" s="192">
        <v>4.726</v>
      </c>
      <c r="G34" s="188">
        <v>2.0983439999999995</v>
      </c>
      <c r="H34" s="192">
        <v>5.03</v>
      </c>
      <c r="I34" s="193">
        <v>23.77178</v>
      </c>
    </row>
    <row r="35" spans="2:9" ht="15.75" customHeight="1" x14ac:dyDescent="0.3">
      <c r="B35" s="191">
        <v>11</v>
      </c>
      <c r="C35" s="192">
        <v>4</v>
      </c>
      <c r="D35" s="192" t="s">
        <v>284</v>
      </c>
      <c r="E35" s="192">
        <v>3751</v>
      </c>
      <c r="F35" s="192">
        <v>15.004</v>
      </c>
      <c r="G35" s="188">
        <v>6.6617759999999988</v>
      </c>
      <c r="H35" s="192">
        <v>5.03</v>
      </c>
      <c r="I35" s="193">
        <v>75.470120000000009</v>
      </c>
    </row>
    <row r="36" spans="2:9" ht="15.75" customHeight="1" x14ac:dyDescent="0.3">
      <c r="B36" s="191">
        <v>12</v>
      </c>
      <c r="C36" s="192">
        <v>2</v>
      </c>
      <c r="D36" s="192" t="s">
        <v>284</v>
      </c>
      <c r="E36" s="192">
        <v>2078</v>
      </c>
      <c r="F36" s="192">
        <v>4.1559999999999997</v>
      </c>
      <c r="G36" s="188">
        <v>1.8452639999999996</v>
      </c>
      <c r="H36" s="192">
        <v>5.03</v>
      </c>
      <c r="I36" s="193">
        <v>20.904679999999999</v>
      </c>
    </row>
    <row r="37" spans="2:9" ht="15.75" customHeight="1" x14ac:dyDescent="0.3">
      <c r="B37" s="191">
        <v>13</v>
      </c>
      <c r="C37" s="192">
        <v>2</v>
      </c>
      <c r="D37" s="192" t="s">
        <v>284</v>
      </c>
      <c r="E37" s="192">
        <v>2440</v>
      </c>
      <c r="F37" s="192">
        <v>4.88</v>
      </c>
      <c r="G37" s="188">
        <v>2.1667199999999998</v>
      </c>
      <c r="H37" s="192">
        <v>5.03</v>
      </c>
      <c r="I37" s="193">
        <v>24.546400000000002</v>
      </c>
    </row>
    <row r="38" spans="2:9" ht="15.75" customHeight="1" x14ac:dyDescent="0.3">
      <c r="B38" s="191">
        <v>14</v>
      </c>
      <c r="C38" s="192">
        <v>2</v>
      </c>
      <c r="D38" s="192" t="s">
        <v>284</v>
      </c>
      <c r="E38" s="192">
        <v>2999</v>
      </c>
      <c r="F38" s="192">
        <v>5.9980000000000002</v>
      </c>
      <c r="G38" s="188">
        <v>2.6631119999999999</v>
      </c>
      <c r="H38" s="192">
        <v>5.03</v>
      </c>
      <c r="I38" s="193">
        <v>30.169940000000004</v>
      </c>
    </row>
    <row r="39" spans="2:9" ht="15.75" customHeight="1" x14ac:dyDescent="0.3">
      <c r="B39" s="191">
        <v>15</v>
      </c>
      <c r="C39" s="192">
        <v>2</v>
      </c>
      <c r="D39" s="192" t="s">
        <v>284</v>
      </c>
      <c r="E39" s="192">
        <v>1382</v>
      </c>
      <c r="F39" s="192">
        <v>2.7639999999999998</v>
      </c>
      <c r="G39" s="188">
        <v>1.2272159999999999</v>
      </c>
      <c r="H39" s="192">
        <v>5.03</v>
      </c>
      <c r="I39" s="193">
        <v>13.90292</v>
      </c>
    </row>
    <row r="40" spans="2:9" ht="15.75" customHeight="1" x14ac:dyDescent="0.3">
      <c r="B40" s="194">
        <v>16</v>
      </c>
      <c r="C40" s="195">
        <v>2</v>
      </c>
      <c r="D40" s="195" t="s">
        <v>285</v>
      </c>
      <c r="E40" s="195">
        <v>736</v>
      </c>
      <c r="F40" s="195">
        <v>1.472</v>
      </c>
      <c r="G40" s="195">
        <v>0.57996800000000004</v>
      </c>
      <c r="H40" s="195">
        <v>4.4000000000000004</v>
      </c>
      <c r="I40" s="196">
        <v>6.4768000000000008</v>
      </c>
    </row>
    <row r="41" spans="2:9" ht="15.75" customHeight="1" x14ac:dyDescent="0.3">
      <c r="B41" s="194">
        <v>17</v>
      </c>
      <c r="C41" s="195">
        <v>30</v>
      </c>
      <c r="D41" s="195" t="s">
        <v>285</v>
      </c>
      <c r="E41" s="195">
        <v>938</v>
      </c>
      <c r="F41" s="195">
        <v>28.14</v>
      </c>
      <c r="G41" s="195">
        <v>11.087160000000001</v>
      </c>
      <c r="H41" s="195">
        <v>4.4000000000000004</v>
      </c>
      <c r="I41" s="196">
        <v>123.81600000000002</v>
      </c>
    </row>
    <row r="42" spans="2:9" ht="15.75" customHeight="1" x14ac:dyDescent="0.3">
      <c r="B42" s="194">
        <v>18</v>
      </c>
      <c r="C42" s="195">
        <v>10</v>
      </c>
      <c r="D42" s="195" t="s">
        <v>285</v>
      </c>
      <c r="E42" s="195">
        <v>1117</v>
      </c>
      <c r="F42" s="195">
        <v>11.17</v>
      </c>
      <c r="G42" s="195">
        <v>4.4009800000000006</v>
      </c>
      <c r="H42" s="195">
        <v>4.4000000000000004</v>
      </c>
      <c r="I42" s="196">
        <v>49.148000000000003</v>
      </c>
    </row>
    <row r="43" spans="2:9" ht="15.75" customHeight="1" x14ac:dyDescent="0.3">
      <c r="B43" s="194">
        <v>19</v>
      </c>
      <c r="C43" s="195">
        <v>4</v>
      </c>
      <c r="D43" s="195" t="s">
        <v>285</v>
      </c>
      <c r="E43" s="195">
        <v>997</v>
      </c>
      <c r="F43" s="195">
        <v>3.988</v>
      </c>
      <c r="G43" s="195">
        <v>1.571272</v>
      </c>
      <c r="H43" s="195">
        <v>4.4000000000000004</v>
      </c>
      <c r="I43" s="196">
        <v>17.5472</v>
      </c>
    </row>
    <row r="44" spans="2:9" ht="15.75" customHeight="1" x14ac:dyDescent="0.3">
      <c r="B44" s="194">
        <v>20</v>
      </c>
      <c r="C44" s="195">
        <v>8</v>
      </c>
      <c r="D44" s="195" t="s">
        <v>285</v>
      </c>
      <c r="E44" s="195">
        <v>624</v>
      </c>
      <c r="F44" s="195">
        <v>4.992</v>
      </c>
      <c r="G44" s="195">
        <v>1.9668480000000002</v>
      </c>
      <c r="H44" s="195">
        <v>4.4000000000000004</v>
      </c>
      <c r="I44" s="196">
        <v>21.9648</v>
      </c>
    </row>
    <row r="45" spans="2:9" ht="15.75" customHeight="1" x14ac:dyDescent="0.3">
      <c r="B45" s="194">
        <v>21</v>
      </c>
      <c r="C45" s="195">
        <v>4</v>
      </c>
      <c r="D45" s="195" t="s">
        <v>285</v>
      </c>
      <c r="E45" s="195">
        <v>500</v>
      </c>
      <c r="F45" s="195">
        <v>2</v>
      </c>
      <c r="G45" s="195">
        <v>0.78800000000000003</v>
      </c>
      <c r="H45" s="195">
        <v>4.4000000000000004</v>
      </c>
      <c r="I45" s="196">
        <v>8.8000000000000007</v>
      </c>
    </row>
    <row r="46" spans="2:9" ht="15.75" customHeight="1" x14ac:dyDescent="0.3">
      <c r="B46" s="194">
        <v>22</v>
      </c>
      <c r="C46" s="195">
        <v>2</v>
      </c>
      <c r="D46" s="195" t="s">
        <v>285</v>
      </c>
      <c r="E46" s="195">
        <v>1152</v>
      </c>
      <c r="F46" s="195">
        <v>2.3039999999999998</v>
      </c>
      <c r="G46" s="195">
        <v>0.90777599999999992</v>
      </c>
      <c r="H46" s="195">
        <v>4.4000000000000004</v>
      </c>
      <c r="I46" s="196">
        <v>10.137600000000001</v>
      </c>
    </row>
    <row r="47" spans="2:9" ht="15.75" customHeight="1" x14ac:dyDescent="0.3">
      <c r="B47" s="194">
        <v>23</v>
      </c>
      <c r="C47" s="195">
        <v>4</v>
      </c>
      <c r="D47" s="195" t="s">
        <v>285</v>
      </c>
      <c r="E47" s="195">
        <v>1115</v>
      </c>
      <c r="F47" s="195">
        <v>4.46</v>
      </c>
      <c r="G47" s="195">
        <v>1.7572400000000001</v>
      </c>
      <c r="H47" s="195">
        <v>4.4000000000000004</v>
      </c>
      <c r="I47" s="196">
        <v>19.624000000000002</v>
      </c>
    </row>
    <row r="48" spans="2:9" ht="15.75" customHeight="1" x14ac:dyDescent="0.3">
      <c r="B48" s="194">
        <v>24</v>
      </c>
      <c r="C48" s="195">
        <v>2</v>
      </c>
      <c r="D48" s="195" t="s">
        <v>285</v>
      </c>
      <c r="E48" s="195">
        <v>1666</v>
      </c>
      <c r="F48" s="195">
        <v>3.3319999999999999</v>
      </c>
      <c r="G48" s="195">
        <v>1.312808</v>
      </c>
      <c r="H48" s="195">
        <v>4.4000000000000004</v>
      </c>
      <c r="I48" s="196">
        <v>14.6608</v>
      </c>
    </row>
    <row r="49" spans="2:14" ht="15.75" customHeight="1" x14ac:dyDescent="0.3">
      <c r="B49" s="194">
        <v>25</v>
      </c>
      <c r="C49" s="195">
        <v>2</v>
      </c>
      <c r="D49" s="195" t="s">
        <v>285</v>
      </c>
      <c r="E49" s="195">
        <v>1270</v>
      </c>
      <c r="F49" s="195">
        <v>2.54</v>
      </c>
      <c r="G49" s="195">
        <v>1.0007600000000001</v>
      </c>
      <c r="H49" s="195">
        <v>4.4000000000000004</v>
      </c>
      <c r="I49" s="196">
        <v>11.176000000000002</v>
      </c>
    </row>
    <row r="50" spans="2:14" ht="15.75" customHeight="1" x14ac:dyDescent="0.3">
      <c r="B50" s="194">
        <v>26</v>
      </c>
      <c r="C50" s="195">
        <v>2</v>
      </c>
      <c r="D50" s="195" t="s">
        <v>285</v>
      </c>
      <c r="E50" s="195">
        <v>1616</v>
      </c>
      <c r="F50" s="195">
        <v>3.2320000000000002</v>
      </c>
      <c r="G50" s="195">
        <v>1.2734080000000001</v>
      </c>
      <c r="H50" s="195">
        <v>4.4000000000000004</v>
      </c>
      <c r="I50" s="196">
        <v>14.220800000000002</v>
      </c>
    </row>
    <row r="51" spans="2:14" ht="15.75" customHeight="1" x14ac:dyDescent="0.3">
      <c r="B51" s="194">
        <v>27</v>
      </c>
      <c r="C51" s="195">
        <v>10</v>
      </c>
      <c r="D51" s="195" t="s">
        <v>285</v>
      </c>
      <c r="E51" s="195">
        <v>965</v>
      </c>
      <c r="F51" s="195">
        <v>9.65</v>
      </c>
      <c r="G51" s="195">
        <v>3.8021000000000003</v>
      </c>
      <c r="H51" s="195">
        <v>4.4000000000000004</v>
      </c>
      <c r="I51" s="196">
        <v>42.460000000000008</v>
      </c>
    </row>
    <row r="52" spans="2:14" ht="15.75" customHeight="1" x14ac:dyDescent="0.3">
      <c r="B52" s="194">
        <v>28</v>
      </c>
      <c r="C52" s="195">
        <v>8</v>
      </c>
      <c r="D52" s="195" t="s">
        <v>285</v>
      </c>
      <c r="E52" s="195">
        <v>1132</v>
      </c>
      <c r="F52" s="195">
        <v>9.0559999999999992</v>
      </c>
      <c r="G52" s="195">
        <v>3.5680639999999997</v>
      </c>
      <c r="H52" s="195">
        <v>4.4000000000000004</v>
      </c>
      <c r="I52" s="196">
        <v>39.846400000000003</v>
      </c>
    </row>
    <row r="53" spans="2:14" ht="15.75" customHeight="1" x14ac:dyDescent="0.3">
      <c r="B53" s="194">
        <v>29</v>
      </c>
      <c r="C53" s="195">
        <v>6</v>
      </c>
      <c r="D53" s="195" t="s">
        <v>285</v>
      </c>
      <c r="E53" s="195">
        <v>1218</v>
      </c>
      <c r="F53" s="195">
        <v>7.3079999999999998</v>
      </c>
      <c r="G53" s="195">
        <v>2.8793519999999999</v>
      </c>
      <c r="H53" s="195">
        <v>4.4000000000000004</v>
      </c>
      <c r="I53" s="196">
        <v>32.155200000000001</v>
      </c>
    </row>
    <row r="54" spans="2:14" ht="15.75" customHeight="1" x14ac:dyDescent="0.3">
      <c r="B54" s="194">
        <v>30</v>
      </c>
      <c r="C54" s="195">
        <v>2</v>
      </c>
      <c r="D54" s="195" t="s">
        <v>285</v>
      </c>
      <c r="E54" s="195">
        <v>1043</v>
      </c>
      <c r="F54" s="195">
        <v>2.0859999999999999</v>
      </c>
      <c r="G54" s="195">
        <v>0.82188399999999995</v>
      </c>
      <c r="H54" s="195">
        <v>4.4000000000000004</v>
      </c>
      <c r="I54" s="196">
        <v>9.1783999999999999</v>
      </c>
    </row>
    <row r="55" spans="2:14" ht="15.75" customHeight="1" x14ac:dyDescent="0.3">
      <c r="B55" s="194">
        <v>31</v>
      </c>
      <c r="C55" s="195">
        <v>2</v>
      </c>
      <c r="D55" s="195" t="s">
        <v>285</v>
      </c>
      <c r="E55" s="195">
        <v>1021</v>
      </c>
      <c r="F55" s="195">
        <v>2.0419999999999998</v>
      </c>
      <c r="G55" s="195">
        <v>0.80454799999999993</v>
      </c>
      <c r="H55" s="195">
        <v>4.4000000000000004</v>
      </c>
      <c r="I55" s="196">
        <v>8.9847999999999999</v>
      </c>
      <c r="L55" s="101"/>
      <c r="M55" s="101"/>
      <c r="N55" s="101"/>
    </row>
    <row r="56" spans="2:14" ht="15.75" customHeight="1" x14ac:dyDescent="0.3">
      <c r="B56" s="197">
        <v>32</v>
      </c>
      <c r="C56" s="198">
        <v>2</v>
      </c>
      <c r="D56" s="198" t="s">
        <v>286</v>
      </c>
      <c r="E56" s="198">
        <v>1096</v>
      </c>
      <c r="F56" s="198">
        <v>2.1920000000000002</v>
      </c>
      <c r="G56" s="198">
        <v>1.012704</v>
      </c>
      <c r="H56" s="198">
        <v>5.0199999999999996</v>
      </c>
      <c r="I56" s="199">
        <v>11.00384</v>
      </c>
      <c r="L56" s="101"/>
      <c r="M56" s="200"/>
      <c r="N56" s="101"/>
    </row>
    <row r="57" spans="2:14" ht="15.75" customHeight="1" x14ac:dyDescent="0.3">
      <c r="B57" s="197">
        <v>33</v>
      </c>
      <c r="C57" s="198">
        <v>2</v>
      </c>
      <c r="D57" s="198" t="s">
        <v>286</v>
      </c>
      <c r="E57" s="198">
        <v>863</v>
      </c>
      <c r="F57" s="198">
        <v>1.726</v>
      </c>
      <c r="G57" s="198">
        <v>0.7974119999999999</v>
      </c>
      <c r="H57" s="198">
        <v>5.0199999999999996</v>
      </c>
      <c r="I57" s="199">
        <v>8.6645199999999996</v>
      </c>
      <c r="L57" s="101"/>
      <c r="M57" s="200"/>
      <c r="N57" s="101"/>
    </row>
    <row r="58" spans="2:14" ht="15.75" customHeight="1" x14ac:dyDescent="0.3">
      <c r="B58" s="197">
        <v>34</v>
      </c>
      <c r="C58" s="198">
        <v>2</v>
      </c>
      <c r="D58" s="198" t="s">
        <v>286</v>
      </c>
      <c r="E58" s="198">
        <v>703</v>
      </c>
      <c r="F58" s="198">
        <v>1.4059999999999999</v>
      </c>
      <c r="G58" s="198">
        <v>0.64957199999999993</v>
      </c>
      <c r="H58" s="198">
        <v>5.0199999999999996</v>
      </c>
      <c r="I58" s="199">
        <v>7.0581199999999988</v>
      </c>
      <c r="L58" s="101"/>
      <c r="M58" s="200"/>
      <c r="N58" s="101"/>
    </row>
    <row r="59" spans="2:14" ht="15.75" customHeight="1" x14ac:dyDescent="0.3">
      <c r="B59" s="618" t="s">
        <v>210</v>
      </c>
      <c r="C59" s="619"/>
      <c r="D59" s="619"/>
      <c r="E59" s="619"/>
      <c r="F59" s="620"/>
      <c r="G59" s="201">
        <v>84.744271999999981</v>
      </c>
      <c r="H59" s="202"/>
      <c r="I59" s="201">
        <v>952.70020000000022</v>
      </c>
    </row>
    <row r="60" spans="2:14" ht="15.75" customHeight="1" x14ac:dyDescent="0.3"/>
    <row r="61" spans="2:14" ht="15.75" customHeight="1" x14ac:dyDescent="0.3">
      <c r="B61" s="184"/>
      <c r="C61" s="185"/>
      <c r="D61" s="185"/>
      <c r="E61" s="185"/>
      <c r="F61" s="185"/>
      <c r="G61" s="185"/>
      <c r="H61" s="185"/>
      <c r="I61" s="186"/>
    </row>
    <row r="62" spans="2:14" ht="15.75" customHeight="1" x14ac:dyDescent="0.3">
      <c r="B62" s="203">
        <v>1</v>
      </c>
      <c r="C62" s="204">
        <v>200</v>
      </c>
      <c r="D62" s="204" t="s">
        <v>287</v>
      </c>
      <c r="E62" s="204">
        <v>372</v>
      </c>
      <c r="F62" s="204">
        <v>74.400000000000006</v>
      </c>
      <c r="G62" s="204">
        <v>7.4400000000000013</v>
      </c>
      <c r="H62" s="204">
        <v>0.311</v>
      </c>
      <c r="I62" s="205">
        <v>23.138400000000001</v>
      </c>
    </row>
    <row r="63" spans="2:14" ht="15.75" customHeight="1" x14ac:dyDescent="0.3">
      <c r="B63" s="206">
        <v>2</v>
      </c>
      <c r="C63" s="207">
        <v>16</v>
      </c>
      <c r="D63" s="207" t="s">
        <v>287</v>
      </c>
      <c r="E63" s="207">
        <v>315</v>
      </c>
      <c r="F63" s="207">
        <v>5.04</v>
      </c>
      <c r="G63" s="204">
        <v>0.504</v>
      </c>
      <c r="H63" s="207">
        <v>0.311</v>
      </c>
      <c r="I63" s="208">
        <v>1.5674399999999999</v>
      </c>
    </row>
    <row r="64" spans="2:14" ht="15.75" customHeight="1" x14ac:dyDescent="0.3">
      <c r="B64" s="209">
        <v>3</v>
      </c>
      <c r="C64" s="210">
        <v>58</v>
      </c>
      <c r="D64" s="210" t="s">
        <v>288</v>
      </c>
      <c r="E64" s="210">
        <v>6594</v>
      </c>
      <c r="F64" s="210">
        <v>382.452</v>
      </c>
      <c r="G64" s="210">
        <v>152.21589599999996</v>
      </c>
      <c r="H64" s="210">
        <v>2.93</v>
      </c>
      <c r="I64" s="211">
        <v>1120.5843600000001</v>
      </c>
    </row>
    <row r="65" spans="2:9" ht="15.75" customHeight="1" x14ac:dyDescent="0.3">
      <c r="B65" s="618" t="s">
        <v>210</v>
      </c>
      <c r="C65" s="619"/>
      <c r="D65" s="619"/>
      <c r="E65" s="619"/>
      <c r="F65" s="620"/>
      <c r="G65" s="202">
        <v>160.15989599999995</v>
      </c>
      <c r="H65" s="202"/>
      <c r="I65" s="212">
        <v>1145.2902000000001</v>
      </c>
    </row>
    <row r="66" spans="2:9" ht="15.75" customHeight="1" x14ac:dyDescent="0.3"/>
    <row r="67" spans="2:9" ht="15.75" customHeight="1" x14ac:dyDescent="0.3">
      <c r="B67" s="621" t="s">
        <v>289</v>
      </c>
      <c r="C67" s="622"/>
      <c r="D67" s="622"/>
      <c r="E67" s="622"/>
      <c r="F67" s="623"/>
      <c r="G67" s="213">
        <v>60.6</v>
      </c>
    </row>
    <row r="68" spans="2:9" ht="15.75" customHeight="1" x14ac:dyDescent="0.3">
      <c r="B68" s="618" t="s">
        <v>290</v>
      </c>
      <c r="C68" s="619"/>
      <c r="D68" s="619"/>
      <c r="E68" s="619"/>
      <c r="F68" s="620"/>
      <c r="G68" s="214">
        <v>30.3</v>
      </c>
    </row>
    <row r="69" spans="2:9" ht="15.75" customHeight="1" x14ac:dyDescent="0.3"/>
    <row r="70" spans="2:9" ht="15.75" customHeight="1" x14ac:dyDescent="0.3"/>
    <row r="71" spans="2:9" ht="15.75" customHeight="1" x14ac:dyDescent="0.3"/>
    <row r="72" spans="2:9" ht="15.75" customHeight="1" x14ac:dyDescent="0.3"/>
    <row r="73" spans="2:9" ht="15.75" customHeight="1" x14ac:dyDescent="0.3"/>
    <row r="74" spans="2:9" ht="15.75" customHeight="1" x14ac:dyDescent="0.3"/>
    <row r="75" spans="2:9" ht="15.75" customHeight="1" x14ac:dyDescent="0.3"/>
    <row r="76" spans="2:9" ht="15.75" customHeight="1" x14ac:dyDescent="0.3"/>
    <row r="77" spans="2:9" ht="15.75" customHeight="1" x14ac:dyDescent="0.3"/>
    <row r="78" spans="2:9" ht="15.75" customHeight="1" x14ac:dyDescent="0.3"/>
    <row r="79" spans="2:9" ht="15.75" customHeight="1" x14ac:dyDescent="0.3"/>
    <row r="80" spans="2:9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1">
    <mergeCell ref="B65:F65"/>
    <mergeCell ref="B67:F67"/>
    <mergeCell ref="B68:F68"/>
    <mergeCell ref="B20:G20"/>
    <mergeCell ref="H20:I20"/>
    <mergeCell ref="B21:G21"/>
    <mergeCell ref="H21:I21"/>
    <mergeCell ref="B22:G22"/>
    <mergeCell ref="H22:I22"/>
    <mergeCell ref="B59:F59"/>
    <mergeCell ref="B17:G17"/>
    <mergeCell ref="H17:I17"/>
    <mergeCell ref="B18:G18"/>
    <mergeCell ref="H18:I18"/>
    <mergeCell ref="B19:G19"/>
    <mergeCell ref="H19:I19"/>
    <mergeCell ref="B14:I14"/>
    <mergeCell ref="B15:G15"/>
    <mergeCell ref="H15:I15"/>
    <mergeCell ref="H16:I16"/>
    <mergeCell ref="B16:G16"/>
    <mergeCell ref="B6:I6"/>
    <mergeCell ref="B9:I9"/>
    <mergeCell ref="B10:I10"/>
    <mergeCell ref="B12:I12"/>
    <mergeCell ref="B13:I13"/>
    <mergeCell ref="B1:I1"/>
    <mergeCell ref="B2:I2"/>
    <mergeCell ref="B3:I3"/>
    <mergeCell ref="B4:I4"/>
    <mergeCell ref="B5:I5"/>
  </mergeCells>
  <pageMargins left="0.511811024" right="0.511811024" top="0.78740157499999996" bottom="0.78740157499999996" header="0" footer="0"/>
  <pageSetup scale="94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00"/>
  <sheetViews>
    <sheetView workbookViewId="0"/>
  </sheetViews>
  <sheetFormatPr defaultColWidth="14.44140625" defaultRowHeight="15" customHeight="1" x14ac:dyDescent="0.3"/>
  <cols>
    <col min="1" max="1" width="12.6640625" customWidth="1"/>
    <col min="2" max="2" width="58.109375" customWidth="1"/>
    <col min="3" max="3" width="19" customWidth="1"/>
    <col min="4" max="4" width="9.6640625" customWidth="1"/>
    <col min="5" max="5" width="11.33203125" customWidth="1"/>
    <col min="6" max="6" width="10.109375" customWidth="1"/>
    <col min="7" max="7" width="17.109375" customWidth="1"/>
    <col min="8" max="26" width="8.5546875" customWidth="1"/>
  </cols>
  <sheetData>
    <row r="1" spans="1:8" ht="14.4" x14ac:dyDescent="0.3">
      <c r="A1" s="215"/>
      <c r="B1" s="215"/>
      <c r="C1" s="215"/>
      <c r="D1" s="215"/>
      <c r="E1" s="215"/>
      <c r="F1" s="215"/>
      <c r="G1" s="215"/>
      <c r="H1" s="216"/>
    </row>
    <row r="2" spans="1:8" ht="27.6" x14ac:dyDescent="0.3">
      <c r="A2" s="217" t="s">
        <v>291</v>
      </c>
      <c r="B2" s="218" t="s">
        <v>292</v>
      </c>
      <c r="C2" s="219" t="s">
        <v>13</v>
      </c>
      <c r="D2" s="219" t="s">
        <v>111</v>
      </c>
      <c r="E2" s="220"/>
      <c r="F2" s="221"/>
      <c r="G2" s="222"/>
      <c r="H2" s="216"/>
    </row>
    <row r="3" spans="1:8" ht="14.4" x14ac:dyDescent="0.3">
      <c r="A3" s="223" t="s">
        <v>293</v>
      </c>
      <c r="B3" s="224" t="s">
        <v>294</v>
      </c>
      <c r="C3" s="225" t="s">
        <v>295</v>
      </c>
      <c r="D3" s="225" t="s">
        <v>114</v>
      </c>
      <c r="E3" s="225">
        <v>0.55769999999999997</v>
      </c>
      <c r="F3" s="221"/>
      <c r="G3" s="222"/>
      <c r="H3" s="216"/>
    </row>
    <row r="4" spans="1:8" ht="27.6" x14ac:dyDescent="0.3">
      <c r="A4" s="223" t="s">
        <v>296</v>
      </c>
      <c r="B4" s="224" t="s">
        <v>297</v>
      </c>
      <c r="C4" s="225" t="s">
        <v>295</v>
      </c>
      <c r="D4" s="225" t="s">
        <v>75</v>
      </c>
      <c r="E4" s="225" t="s">
        <v>298</v>
      </c>
      <c r="F4" s="221"/>
      <c r="G4" s="222"/>
      <c r="H4" s="216"/>
    </row>
    <row r="5" spans="1:8" ht="27.6" x14ac:dyDescent="0.3">
      <c r="A5" s="223" t="s">
        <v>299</v>
      </c>
      <c r="B5" s="224" t="s">
        <v>300</v>
      </c>
      <c r="C5" s="225" t="s">
        <v>295</v>
      </c>
      <c r="D5" s="225" t="s">
        <v>111</v>
      </c>
      <c r="E5" s="225">
        <v>1.0720000000000001</v>
      </c>
      <c r="F5" s="221"/>
      <c r="G5" s="222"/>
      <c r="H5" s="216"/>
    </row>
    <row r="6" spans="1:8" ht="14.4" x14ac:dyDescent="0.3">
      <c r="A6" s="223" t="s">
        <v>301</v>
      </c>
      <c r="B6" s="224" t="s">
        <v>302</v>
      </c>
      <c r="C6" s="225" t="s">
        <v>295</v>
      </c>
      <c r="D6" s="225" t="s">
        <v>114</v>
      </c>
      <c r="E6" s="225">
        <v>3.7400000000000003E-2</v>
      </c>
      <c r="F6" s="221"/>
      <c r="G6" s="222"/>
      <c r="H6" s="216"/>
    </row>
    <row r="7" spans="1:8" ht="27.6" x14ac:dyDescent="0.3">
      <c r="A7" s="223" t="s">
        <v>303</v>
      </c>
      <c r="B7" s="224" t="s">
        <v>304</v>
      </c>
      <c r="C7" s="225" t="s">
        <v>295</v>
      </c>
      <c r="D7" s="225" t="s">
        <v>75</v>
      </c>
      <c r="E7" s="225" t="s">
        <v>305</v>
      </c>
      <c r="F7" s="221"/>
      <c r="G7" s="222"/>
      <c r="H7" s="216"/>
    </row>
    <row r="8" spans="1:8" ht="14.4" x14ac:dyDescent="0.3">
      <c r="A8" s="223" t="s">
        <v>306</v>
      </c>
      <c r="B8" s="224" t="s">
        <v>307</v>
      </c>
      <c r="C8" s="225" t="s">
        <v>308</v>
      </c>
      <c r="D8" s="225" t="s">
        <v>14</v>
      </c>
      <c r="E8" s="225" t="s">
        <v>309</v>
      </c>
      <c r="F8" s="221"/>
      <c r="G8" s="222"/>
      <c r="H8" s="216"/>
    </row>
    <row r="9" spans="1:8" ht="14.4" x14ac:dyDescent="0.3">
      <c r="A9" s="223" t="s">
        <v>310</v>
      </c>
      <c r="B9" s="224" t="s">
        <v>85</v>
      </c>
      <c r="C9" s="225" t="s">
        <v>308</v>
      </c>
      <c r="D9" s="225" t="s">
        <v>14</v>
      </c>
      <c r="E9" s="225" t="s">
        <v>311</v>
      </c>
      <c r="F9" s="221"/>
      <c r="G9" s="222"/>
      <c r="H9" s="216"/>
    </row>
    <row r="10" spans="1:8" ht="14.4" x14ac:dyDescent="0.3">
      <c r="A10" s="223"/>
      <c r="B10" s="224"/>
      <c r="C10" s="225"/>
      <c r="D10" s="225"/>
      <c r="E10" s="225"/>
      <c r="F10" s="221"/>
      <c r="G10" s="222"/>
      <c r="H10" s="216"/>
    </row>
    <row r="11" spans="1:8" ht="14.4" x14ac:dyDescent="0.3">
      <c r="A11" s="223"/>
      <c r="B11" s="224"/>
      <c r="C11" s="225"/>
      <c r="D11" s="225"/>
      <c r="E11" s="225"/>
      <c r="F11" s="221"/>
      <c r="G11" s="222"/>
      <c r="H11" s="216"/>
    </row>
    <row r="12" spans="1:8" ht="14.4" x14ac:dyDescent="0.3">
      <c r="A12" s="223"/>
      <c r="B12" s="224"/>
      <c r="C12" s="225"/>
      <c r="D12" s="225"/>
      <c r="E12" s="225"/>
      <c r="F12" s="221"/>
      <c r="G12" s="222"/>
      <c r="H12" s="216"/>
    </row>
    <row r="13" spans="1:8" ht="14.4" x14ac:dyDescent="0.3">
      <c r="A13" s="629"/>
      <c r="B13" s="444"/>
      <c r="C13" s="444"/>
      <c r="D13" s="444"/>
      <c r="E13" s="444"/>
      <c r="F13" s="444"/>
      <c r="G13" s="630"/>
      <c r="H13" s="216"/>
    </row>
    <row r="14" spans="1:8" ht="14.4" x14ac:dyDescent="0.3">
      <c r="A14" s="215"/>
      <c r="B14" s="215"/>
      <c r="C14" s="215"/>
      <c r="D14" s="215"/>
      <c r="E14" s="215"/>
      <c r="F14" s="215"/>
      <c r="G14" s="215"/>
      <c r="H14" s="216"/>
    </row>
    <row r="15" spans="1:8" ht="41.4" x14ac:dyDescent="0.3">
      <c r="A15" s="217" t="s">
        <v>291</v>
      </c>
      <c r="B15" s="218" t="s">
        <v>196</v>
      </c>
      <c r="C15" s="219" t="s">
        <v>13</v>
      </c>
      <c r="D15" s="219" t="s">
        <v>125</v>
      </c>
      <c r="E15" s="220"/>
      <c r="F15" s="221"/>
      <c r="G15" s="222"/>
      <c r="H15" s="216"/>
    </row>
    <row r="16" spans="1:8" ht="14.4" x14ac:dyDescent="0.3">
      <c r="A16" s="223" t="s">
        <v>293</v>
      </c>
      <c r="B16" s="224" t="s">
        <v>294</v>
      </c>
      <c r="C16" s="225" t="s">
        <v>295</v>
      </c>
      <c r="D16" s="225" t="s">
        <v>114</v>
      </c>
      <c r="E16" s="225">
        <v>0.59250000000000003</v>
      </c>
      <c r="F16" s="221"/>
      <c r="G16" s="222"/>
      <c r="H16" s="216"/>
    </row>
    <row r="17" spans="1:16" ht="27.6" x14ac:dyDescent="0.3">
      <c r="A17" s="223" t="s">
        <v>296</v>
      </c>
      <c r="B17" s="224" t="s">
        <v>297</v>
      </c>
      <c r="C17" s="225" t="s">
        <v>295</v>
      </c>
      <c r="D17" s="225" t="s">
        <v>75</v>
      </c>
      <c r="E17" s="225" t="s">
        <v>298</v>
      </c>
      <c r="F17" s="221"/>
      <c r="G17" s="222"/>
      <c r="H17" s="216"/>
    </row>
    <row r="18" spans="1:16" ht="27.6" x14ac:dyDescent="0.3">
      <c r="A18" s="223" t="s">
        <v>299</v>
      </c>
      <c r="B18" s="224" t="s">
        <v>300</v>
      </c>
      <c r="C18" s="225" t="s">
        <v>295</v>
      </c>
      <c r="D18" s="225" t="s">
        <v>111</v>
      </c>
      <c r="E18" s="225">
        <v>1.139</v>
      </c>
      <c r="F18" s="221"/>
      <c r="G18" s="222"/>
      <c r="H18" s="216"/>
    </row>
    <row r="19" spans="1:16" ht="14.4" x14ac:dyDescent="0.3">
      <c r="A19" s="223" t="s">
        <v>301</v>
      </c>
      <c r="B19" s="224" t="s">
        <v>302</v>
      </c>
      <c r="C19" s="225" t="s">
        <v>295</v>
      </c>
      <c r="D19" s="225" t="s">
        <v>114</v>
      </c>
      <c r="E19" s="225">
        <v>3.9800000000000002E-2</v>
      </c>
      <c r="F19" s="221"/>
      <c r="G19" s="222"/>
      <c r="H19" s="216"/>
    </row>
    <row r="20" spans="1:16" ht="27.6" x14ac:dyDescent="0.3">
      <c r="A20" s="223" t="s">
        <v>303</v>
      </c>
      <c r="B20" s="224" t="s">
        <v>304</v>
      </c>
      <c r="C20" s="225" t="s">
        <v>295</v>
      </c>
      <c r="D20" s="225" t="s">
        <v>75</v>
      </c>
      <c r="E20" s="225" t="s">
        <v>305</v>
      </c>
      <c r="F20" s="221"/>
      <c r="G20" s="222"/>
      <c r="H20" s="216"/>
    </row>
    <row r="21" spans="1:16" ht="15.75" customHeight="1" x14ac:dyDescent="0.3">
      <c r="A21" s="223" t="s">
        <v>306</v>
      </c>
      <c r="B21" s="224" t="s">
        <v>307</v>
      </c>
      <c r="C21" s="225" t="s">
        <v>308</v>
      </c>
      <c r="D21" s="225" t="s">
        <v>14</v>
      </c>
      <c r="E21" s="225" t="s">
        <v>309</v>
      </c>
      <c r="F21" s="221"/>
      <c r="G21" s="222"/>
      <c r="H21" s="216"/>
    </row>
    <row r="22" spans="1:16" ht="15.75" customHeight="1" x14ac:dyDescent="0.3">
      <c r="A22" s="223" t="s">
        <v>310</v>
      </c>
      <c r="B22" s="224" t="s">
        <v>85</v>
      </c>
      <c r="C22" s="225" t="s">
        <v>308</v>
      </c>
      <c r="D22" s="225" t="s">
        <v>14</v>
      </c>
      <c r="E22" s="225" t="s">
        <v>311</v>
      </c>
      <c r="F22" s="221"/>
      <c r="G22" s="222"/>
      <c r="H22" s="216"/>
    </row>
    <row r="23" spans="1:16" ht="15.75" customHeight="1" x14ac:dyDescent="0.3">
      <c r="A23" s="223"/>
      <c r="B23" s="224"/>
      <c r="C23" s="225"/>
      <c r="D23" s="225"/>
      <c r="E23" s="225"/>
      <c r="F23" s="221"/>
      <c r="G23" s="222"/>
      <c r="H23" s="216"/>
    </row>
    <row r="24" spans="1:16" ht="15.75" customHeight="1" x14ac:dyDescent="0.3">
      <c r="A24" s="223"/>
      <c r="B24" s="224"/>
      <c r="C24" s="225"/>
      <c r="D24" s="225"/>
      <c r="E24" s="225"/>
      <c r="F24" s="221"/>
      <c r="G24" s="222"/>
      <c r="H24" s="216"/>
    </row>
    <row r="25" spans="1:16" ht="15.75" customHeight="1" x14ac:dyDescent="0.3">
      <c r="A25" s="223"/>
      <c r="B25" s="224"/>
      <c r="C25" s="225"/>
      <c r="D25" s="225"/>
      <c r="E25" s="225"/>
      <c r="F25" s="221"/>
      <c r="G25" s="222"/>
      <c r="H25" s="216"/>
    </row>
    <row r="26" spans="1:16" ht="15.75" customHeight="1" x14ac:dyDescent="0.3">
      <c r="A26" s="629"/>
      <c r="B26" s="444"/>
      <c r="C26" s="444"/>
      <c r="D26" s="444"/>
      <c r="E26" s="444"/>
      <c r="F26" s="444"/>
      <c r="G26" s="630"/>
      <c r="H26" s="216"/>
    </row>
    <row r="27" spans="1:16" ht="15.75" customHeight="1" x14ac:dyDescent="0.3">
      <c r="A27" s="217" t="s">
        <v>291</v>
      </c>
      <c r="B27" s="218" t="s">
        <v>312</v>
      </c>
      <c r="C27" s="219" t="s">
        <v>13</v>
      </c>
      <c r="D27" s="219" t="s">
        <v>125</v>
      </c>
      <c r="E27" s="220"/>
      <c r="F27" s="221"/>
      <c r="G27" s="222"/>
      <c r="H27" s="216"/>
    </row>
    <row r="28" spans="1:16" ht="15.75" customHeight="1" x14ac:dyDescent="0.3">
      <c r="A28" s="223" t="s">
        <v>293</v>
      </c>
      <c r="B28" s="224" t="s">
        <v>294</v>
      </c>
      <c r="C28" s="225" t="s">
        <v>295</v>
      </c>
      <c r="D28" s="225" t="s">
        <v>114</v>
      </c>
      <c r="E28" s="225">
        <v>0.71779999999999999</v>
      </c>
      <c r="F28" s="221"/>
      <c r="G28" s="222"/>
      <c r="H28" s="216"/>
    </row>
    <row r="29" spans="1:16" ht="15.75" customHeight="1" x14ac:dyDescent="0.3">
      <c r="A29" s="223" t="s">
        <v>296</v>
      </c>
      <c r="B29" s="224" t="s">
        <v>297</v>
      </c>
      <c r="C29" s="225" t="s">
        <v>295</v>
      </c>
      <c r="D29" s="225" t="s">
        <v>75</v>
      </c>
      <c r="E29" s="225">
        <v>9</v>
      </c>
      <c r="F29" s="221"/>
      <c r="G29" s="222"/>
      <c r="H29" s="216"/>
    </row>
    <row r="30" spans="1:16" ht="15.75" customHeight="1" x14ac:dyDescent="0.3">
      <c r="A30" s="223" t="s">
        <v>299</v>
      </c>
      <c r="B30" s="224" t="s">
        <v>300</v>
      </c>
      <c r="C30" s="225" t="s">
        <v>295</v>
      </c>
      <c r="D30" s="225" t="s">
        <v>111</v>
      </c>
      <c r="E30" s="225">
        <v>1.38</v>
      </c>
      <c r="F30" s="221"/>
      <c r="G30" s="222"/>
      <c r="H30" s="216"/>
    </row>
    <row r="31" spans="1:16" ht="15.75" customHeight="1" x14ac:dyDescent="0.3">
      <c r="A31" s="223" t="s">
        <v>301</v>
      </c>
      <c r="B31" s="224" t="s">
        <v>302</v>
      </c>
      <c r="C31" s="225" t="s">
        <v>295</v>
      </c>
      <c r="D31" s="225" t="s">
        <v>114</v>
      </c>
      <c r="E31" s="225">
        <v>4.9139999999999996E-2</v>
      </c>
      <c r="F31" s="221"/>
      <c r="G31" s="222"/>
      <c r="H31" s="216"/>
      <c r="L31" s="226">
        <v>1.0049999999999999</v>
      </c>
      <c r="M31" s="226">
        <v>0.52280000000000004</v>
      </c>
      <c r="O31" s="226">
        <v>1.5</v>
      </c>
      <c r="P31" s="226">
        <v>3.5099999999999999E-2</v>
      </c>
    </row>
    <row r="32" spans="1:16" ht="15.75" customHeight="1" x14ac:dyDescent="0.3">
      <c r="A32" s="223" t="s">
        <v>303</v>
      </c>
      <c r="B32" s="224" t="s">
        <v>304</v>
      </c>
      <c r="C32" s="225" t="s">
        <v>295</v>
      </c>
      <c r="D32" s="225" t="s">
        <v>75</v>
      </c>
      <c r="E32" s="225">
        <v>3</v>
      </c>
      <c r="F32" s="221"/>
      <c r="G32" s="222"/>
      <c r="H32" s="216"/>
      <c r="L32" s="226">
        <f>2.1*0.6+0.12</f>
        <v>1.38</v>
      </c>
      <c r="M32" s="226">
        <f>M31*L32/L31</f>
        <v>0.71787462686567172</v>
      </c>
      <c r="O32" s="226">
        <v>2.1</v>
      </c>
      <c r="P32" s="226">
        <f>P31*O32/O31</f>
        <v>4.9139999999999996E-2</v>
      </c>
    </row>
    <row r="33" spans="1:8" ht="15.75" customHeight="1" x14ac:dyDescent="0.3">
      <c r="A33" s="223" t="s">
        <v>306</v>
      </c>
      <c r="B33" s="224" t="s">
        <v>307</v>
      </c>
      <c r="C33" s="225" t="s">
        <v>308</v>
      </c>
      <c r="D33" s="225" t="s">
        <v>14</v>
      </c>
      <c r="E33" s="225" t="s">
        <v>309</v>
      </c>
      <c r="F33" s="221"/>
      <c r="G33" s="222"/>
      <c r="H33" s="216"/>
    </row>
    <row r="34" spans="1:8" ht="15.75" customHeight="1" x14ac:dyDescent="0.3">
      <c r="A34" s="223" t="s">
        <v>310</v>
      </c>
      <c r="B34" s="224" t="s">
        <v>85</v>
      </c>
      <c r="C34" s="225" t="s">
        <v>308</v>
      </c>
      <c r="D34" s="225" t="s">
        <v>14</v>
      </c>
      <c r="E34" s="225" t="s">
        <v>311</v>
      </c>
      <c r="F34" s="221"/>
      <c r="G34" s="222"/>
      <c r="H34" s="216"/>
    </row>
    <row r="35" spans="1:8" ht="15.75" customHeight="1" x14ac:dyDescent="0.3">
      <c r="A35" s="223"/>
      <c r="B35" s="224"/>
      <c r="C35" s="225"/>
      <c r="D35" s="225"/>
      <c r="E35" s="225"/>
      <c r="F35" s="221"/>
      <c r="G35" s="222"/>
      <c r="H35" s="216"/>
    </row>
    <row r="36" spans="1:8" ht="15.75" customHeight="1" x14ac:dyDescent="0.3">
      <c r="A36" s="223"/>
      <c r="B36" s="224"/>
      <c r="C36" s="225"/>
      <c r="D36" s="225"/>
      <c r="E36" s="225"/>
      <c r="F36" s="221"/>
      <c r="G36" s="222"/>
      <c r="H36" s="216"/>
    </row>
    <row r="37" spans="1:8" ht="15.75" customHeight="1" x14ac:dyDescent="0.3">
      <c r="A37" s="223"/>
      <c r="B37" s="224"/>
      <c r="C37" s="225"/>
      <c r="D37" s="225"/>
      <c r="E37" s="225"/>
      <c r="F37" s="221"/>
      <c r="G37" s="222"/>
      <c r="H37" s="216"/>
    </row>
    <row r="38" spans="1:8" ht="15.75" customHeight="1" x14ac:dyDescent="0.3"/>
    <row r="39" spans="1:8" ht="15.75" customHeight="1" x14ac:dyDescent="0.3">
      <c r="A39" s="217" t="s">
        <v>197</v>
      </c>
      <c r="B39" s="218" t="s">
        <v>198</v>
      </c>
      <c r="C39" s="219" t="s">
        <v>13</v>
      </c>
      <c r="D39" s="219" t="s">
        <v>125</v>
      </c>
      <c r="E39" s="220"/>
      <c r="F39" s="221"/>
      <c r="G39" s="222"/>
    </row>
    <row r="40" spans="1:8" ht="15.75" customHeight="1" x14ac:dyDescent="0.3">
      <c r="A40" s="223">
        <v>88309</v>
      </c>
      <c r="B40" s="224" t="s">
        <v>118</v>
      </c>
      <c r="C40" s="225" t="s">
        <v>308</v>
      </c>
      <c r="D40" s="225" t="s">
        <v>14</v>
      </c>
      <c r="E40" s="225" t="s">
        <v>313</v>
      </c>
      <c r="F40" s="221">
        <v>17.68</v>
      </c>
      <c r="G40" s="222"/>
    </row>
    <row r="41" spans="1:8" ht="15.75" customHeight="1" x14ac:dyDescent="0.3">
      <c r="A41" s="223">
        <v>88316</v>
      </c>
      <c r="B41" s="224" t="s">
        <v>85</v>
      </c>
      <c r="C41" s="225" t="s">
        <v>308</v>
      </c>
      <c r="D41" s="225" t="s">
        <v>14</v>
      </c>
      <c r="E41" s="225" t="s">
        <v>314</v>
      </c>
      <c r="F41" s="221">
        <v>14.4</v>
      </c>
      <c r="G41" s="222"/>
    </row>
    <row r="42" spans="1:8" ht="15.75" customHeight="1" x14ac:dyDescent="0.3">
      <c r="A42" s="223">
        <v>94971</v>
      </c>
      <c r="B42" s="224" t="s">
        <v>201</v>
      </c>
      <c r="C42" s="225" t="s">
        <v>295</v>
      </c>
      <c r="D42" s="225" t="s">
        <v>121</v>
      </c>
      <c r="E42" s="225" t="s">
        <v>315</v>
      </c>
      <c r="F42" s="221">
        <v>395.59</v>
      </c>
      <c r="G42" s="222"/>
    </row>
    <row r="43" spans="1:8" ht="15.75" customHeight="1" x14ac:dyDescent="0.3">
      <c r="A43" s="223"/>
      <c r="B43" s="224"/>
      <c r="C43" s="225"/>
      <c r="D43" s="225"/>
      <c r="E43" s="225"/>
      <c r="F43" s="221"/>
      <c r="G43" s="222"/>
    </row>
    <row r="44" spans="1:8" ht="15.75" customHeight="1" x14ac:dyDescent="0.3">
      <c r="A44" s="223"/>
      <c r="B44" s="224"/>
      <c r="C44" s="225"/>
      <c r="D44" s="225"/>
      <c r="E44" s="225"/>
      <c r="F44" s="221"/>
      <c r="G44" s="222"/>
    </row>
    <row r="45" spans="1:8" ht="15.75" customHeight="1" x14ac:dyDescent="0.3">
      <c r="A45" s="223"/>
      <c r="B45" s="224"/>
      <c r="C45" s="225"/>
      <c r="D45" s="225"/>
      <c r="E45" s="225"/>
      <c r="F45" s="221"/>
      <c r="G45" s="222"/>
    </row>
    <row r="46" spans="1:8" ht="15.75" customHeight="1" x14ac:dyDescent="0.3">
      <c r="A46" s="223"/>
      <c r="B46" s="224"/>
      <c r="C46" s="225"/>
      <c r="D46" s="225"/>
      <c r="E46" s="225"/>
      <c r="F46" s="221"/>
      <c r="G46" s="222"/>
    </row>
    <row r="47" spans="1:8" ht="15.75" customHeight="1" x14ac:dyDescent="0.3">
      <c r="A47" s="629"/>
      <c r="B47" s="444"/>
      <c r="C47" s="444"/>
      <c r="D47" s="444"/>
      <c r="E47" s="444"/>
      <c r="F47" s="444"/>
      <c r="G47" s="630"/>
    </row>
    <row r="48" spans="1:8" ht="15.75" customHeight="1" x14ac:dyDescent="0.3"/>
    <row r="49" spans="1:8" ht="15.75" customHeight="1" x14ac:dyDescent="0.3">
      <c r="A49" s="227" t="s">
        <v>291</v>
      </c>
      <c r="B49" s="228" t="s">
        <v>316</v>
      </c>
      <c r="C49" s="229" t="s">
        <v>13</v>
      </c>
      <c r="D49" s="229" t="s">
        <v>125</v>
      </c>
      <c r="E49" s="230"/>
      <c r="F49" s="231"/>
      <c r="G49" s="232"/>
      <c r="H49" s="226" t="s">
        <v>317</v>
      </c>
    </row>
    <row r="50" spans="1:8" ht="15.75" customHeight="1" x14ac:dyDescent="0.3">
      <c r="A50" s="233" t="s">
        <v>318</v>
      </c>
      <c r="B50" s="234" t="s">
        <v>319</v>
      </c>
      <c r="C50" s="235" t="s">
        <v>295</v>
      </c>
      <c r="D50" s="235" t="s">
        <v>320</v>
      </c>
      <c r="E50" s="235" t="s">
        <v>321</v>
      </c>
      <c r="F50" s="231" t="s">
        <v>322</v>
      </c>
      <c r="G50" s="232"/>
    </row>
    <row r="51" spans="1:8" ht="15.75" customHeight="1" x14ac:dyDescent="0.3">
      <c r="A51" s="236" t="s">
        <v>181</v>
      </c>
      <c r="B51" s="237" t="s">
        <v>323</v>
      </c>
      <c r="C51" s="235" t="s">
        <v>295</v>
      </c>
      <c r="D51" s="235" t="s">
        <v>111</v>
      </c>
      <c r="E51" s="235" t="s">
        <v>324</v>
      </c>
      <c r="F51" s="238" t="s">
        <v>181</v>
      </c>
      <c r="G51" s="232"/>
    </row>
    <row r="52" spans="1:8" ht="15.75" customHeight="1" x14ac:dyDescent="0.3">
      <c r="A52" s="233" t="s">
        <v>310</v>
      </c>
      <c r="B52" s="234" t="s">
        <v>85</v>
      </c>
      <c r="C52" s="235" t="s">
        <v>325</v>
      </c>
      <c r="D52" s="235" t="s">
        <v>14</v>
      </c>
      <c r="E52" s="235" t="s">
        <v>326</v>
      </c>
      <c r="F52" s="231" t="s">
        <v>327</v>
      </c>
      <c r="G52" s="232"/>
    </row>
    <row r="53" spans="1:8" ht="15.75" customHeight="1" x14ac:dyDescent="0.3">
      <c r="A53" s="233" t="s">
        <v>328</v>
      </c>
      <c r="B53" s="234" t="s">
        <v>329</v>
      </c>
      <c r="C53" s="235" t="s">
        <v>325</v>
      </c>
      <c r="D53" s="235" t="s">
        <v>14</v>
      </c>
      <c r="E53" s="235" t="s">
        <v>330</v>
      </c>
      <c r="F53" s="231" t="s">
        <v>331</v>
      </c>
      <c r="G53" s="232"/>
    </row>
    <row r="54" spans="1:8" ht="15.75" customHeight="1" x14ac:dyDescent="0.3">
      <c r="A54" s="233" t="s">
        <v>332</v>
      </c>
      <c r="B54" s="234" t="s">
        <v>333</v>
      </c>
      <c r="C54" s="235" t="s">
        <v>325</v>
      </c>
      <c r="D54" s="235" t="s">
        <v>144</v>
      </c>
      <c r="E54" s="235" t="s">
        <v>334</v>
      </c>
      <c r="F54" s="231" t="s">
        <v>335</v>
      </c>
      <c r="G54" s="232"/>
    </row>
    <row r="55" spans="1:8" ht="15.75" customHeight="1" x14ac:dyDescent="0.3">
      <c r="A55" s="233" t="s">
        <v>336</v>
      </c>
      <c r="B55" s="234" t="s">
        <v>337</v>
      </c>
      <c r="C55" s="235" t="s">
        <v>325</v>
      </c>
      <c r="D55" s="235" t="s">
        <v>147</v>
      </c>
      <c r="E55" s="235" t="s">
        <v>338</v>
      </c>
      <c r="F55" s="231" t="s">
        <v>339</v>
      </c>
      <c r="G55" s="232"/>
    </row>
    <row r="56" spans="1:8" ht="15.75" customHeight="1" x14ac:dyDescent="0.3">
      <c r="A56" s="233"/>
      <c r="B56" s="234"/>
      <c r="C56" s="235"/>
      <c r="D56" s="235"/>
      <c r="E56" s="235"/>
      <c r="F56" s="231"/>
      <c r="G56" s="232"/>
    </row>
    <row r="57" spans="1:8" ht="15.75" customHeight="1" x14ac:dyDescent="0.3">
      <c r="A57" s="631"/>
      <c r="B57" s="444"/>
      <c r="C57" s="444"/>
      <c r="D57" s="444"/>
      <c r="E57" s="444"/>
      <c r="F57" s="444"/>
      <c r="G57" s="630"/>
    </row>
    <row r="58" spans="1:8" ht="15.75" customHeight="1" x14ac:dyDescent="0.3"/>
    <row r="59" spans="1:8" ht="15.75" customHeight="1" x14ac:dyDescent="0.3">
      <c r="A59" s="239" t="s">
        <v>340</v>
      </c>
      <c r="B59" s="240" t="s">
        <v>191</v>
      </c>
      <c r="C59" s="241" t="s">
        <v>13</v>
      </c>
      <c r="D59" s="241" t="s">
        <v>121</v>
      </c>
      <c r="E59" s="242"/>
      <c r="F59" s="243"/>
      <c r="G59" s="244"/>
    </row>
    <row r="60" spans="1:8" ht="15.75" customHeight="1" x14ac:dyDescent="0.3">
      <c r="A60" s="245">
        <v>6079</v>
      </c>
      <c r="B60" s="246" t="s">
        <v>341</v>
      </c>
      <c r="C60" s="247" t="s">
        <v>295</v>
      </c>
      <c r="D60" s="247" t="s">
        <v>121</v>
      </c>
      <c r="E60" s="247">
        <v>1.3</v>
      </c>
      <c r="F60" s="243"/>
      <c r="G60" s="244"/>
    </row>
    <row r="61" spans="1:8" ht="15.75" customHeight="1" x14ac:dyDescent="0.3">
      <c r="A61" s="245"/>
      <c r="B61" s="246"/>
      <c r="C61" s="247"/>
      <c r="D61" s="247"/>
      <c r="E61" s="247"/>
      <c r="F61" s="243"/>
      <c r="G61" s="244"/>
    </row>
    <row r="62" spans="1:8" ht="15.75" customHeight="1" x14ac:dyDescent="0.3"/>
    <row r="63" spans="1:8" ht="15.75" customHeight="1" x14ac:dyDescent="0.3">
      <c r="A63" s="226">
        <v>20262</v>
      </c>
      <c r="B63" s="226" t="s">
        <v>342</v>
      </c>
    </row>
    <row r="64" spans="1:8" ht="15.75" customHeight="1" x14ac:dyDescent="0.3">
      <c r="A64" s="226">
        <v>11761</v>
      </c>
      <c r="B64" s="226" t="s">
        <v>343</v>
      </c>
    </row>
    <row r="65" spans="1:2" ht="15.75" customHeight="1" x14ac:dyDescent="0.3">
      <c r="A65" s="226">
        <v>377</v>
      </c>
      <c r="B65" s="226" t="s">
        <v>344</v>
      </c>
    </row>
    <row r="66" spans="1:2" ht="15.75" customHeight="1" x14ac:dyDescent="0.3"/>
    <row r="67" spans="1:2" ht="15.75" customHeight="1" x14ac:dyDescent="0.3"/>
    <row r="68" spans="1:2" ht="15.75" customHeight="1" x14ac:dyDescent="0.3"/>
    <row r="69" spans="1:2" ht="15.75" customHeight="1" x14ac:dyDescent="0.3"/>
    <row r="70" spans="1:2" ht="15.75" customHeight="1" x14ac:dyDescent="0.3"/>
    <row r="71" spans="1:2" ht="15.75" customHeight="1" x14ac:dyDescent="0.3"/>
    <row r="72" spans="1:2" ht="15.75" customHeight="1" x14ac:dyDescent="0.3"/>
    <row r="73" spans="1:2" ht="15.75" customHeight="1" x14ac:dyDescent="0.3"/>
    <row r="74" spans="1:2" ht="15.75" customHeight="1" x14ac:dyDescent="0.3"/>
    <row r="75" spans="1:2" ht="15.75" customHeight="1" x14ac:dyDescent="0.3"/>
    <row r="76" spans="1:2" ht="15.75" customHeight="1" x14ac:dyDescent="0.3"/>
    <row r="77" spans="1:2" ht="15.75" customHeight="1" x14ac:dyDescent="0.3"/>
    <row r="78" spans="1:2" ht="15.75" customHeight="1" x14ac:dyDescent="0.3"/>
    <row r="79" spans="1:2" ht="15.75" customHeight="1" x14ac:dyDescent="0.3"/>
    <row r="80" spans="1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13:G13"/>
    <mergeCell ref="A26:G26"/>
    <mergeCell ref="A47:G47"/>
    <mergeCell ref="A57:G57"/>
  </mergeCells>
  <pageMargins left="0.511811024" right="0.511811024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fff33c-ea10-4d21-89ed-1d5228e459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9C36AA8A13D4696D8D661A22175F9" ma:contentTypeVersion="18" ma:contentTypeDescription="Create a new document." ma:contentTypeScope="" ma:versionID="b8fd96bbdee6864775ca7237d8cf671e">
  <xsd:schema xmlns:xsd="http://www.w3.org/2001/XMLSchema" xmlns:xs="http://www.w3.org/2001/XMLSchema" xmlns:p="http://schemas.microsoft.com/office/2006/metadata/properties" xmlns:ns3="5ea28c26-d95d-407e-93ce-086b7e64b9ea" xmlns:ns4="f7fff33c-ea10-4d21-89ed-1d5228e4597c" targetNamespace="http://schemas.microsoft.com/office/2006/metadata/properties" ma:root="true" ma:fieldsID="ea905dd6b780f97a736f1efa915c5c9e" ns3:_="" ns4:_="">
    <xsd:import namespace="5ea28c26-d95d-407e-93ce-086b7e64b9ea"/>
    <xsd:import namespace="f7fff33c-ea10-4d21-89ed-1d5228e459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_activity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c26-d95d-407e-93ce-086b7e64b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f33c-ea10-4d21-89ed-1d5228e45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2C5FF-4952-4F95-822A-93B4DD42B2A2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f7fff33c-ea10-4d21-89ed-1d5228e4597c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ea28c26-d95d-407e-93ce-086b7e64b9ea"/>
  </ds:schemaRefs>
</ds:datastoreItem>
</file>

<file path=customXml/itemProps2.xml><?xml version="1.0" encoding="utf-8"?>
<ds:datastoreItem xmlns:ds="http://schemas.openxmlformats.org/officeDocument/2006/customXml" ds:itemID="{A73F3290-5598-4AB7-850D-9311F339E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a28c26-d95d-407e-93ce-086b7e64b9ea"/>
    <ds:schemaRef ds:uri="f7fff33c-ea10-4d21-89ed-1d5228e459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36636-4F03-4EA3-9E2E-23002278B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004. Cronograma Físico-Financ.</vt:lpstr>
      <vt:lpstr>003. Composições Unit. novas</vt:lpstr>
      <vt:lpstr>MEMÓRIA</vt:lpstr>
      <vt:lpstr>CPU </vt:lpstr>
      <vt:lpstr>ANEXO 1</vt:lpstr>
      <vt:lpstr>ANEXO 3.</vt:lpstr>
      <vt:lpstr>ANEXO 4</vt:lpstr>
      <vt:lpstr>Composições Novas</vt:lpstr>
      <vt:lpstr>MEMÓRIA!Area_de_impressao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Adonias de Sa Portela</dc:creator>
  <cp:lastModifiedBy>Gabriel Silveira Alencar</cp:lastModifiedBy>
  <cp:lastPrinted>2023-02-03T19:08:16Z</cp:lastPrinted>
  <dcterms:created xsi:type="dcterms:W3CDTF">2015-03-13T17:56:02Z</dcterms:created>
  <dcterms:modified xsi:type="dcterms:W3CDTF">2025-02-19T15:15:14Z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0x0101006219C36AA8A13D4696D8D661A22175F9</vt:lpwstr>
  </property>
</Properties>
</file>