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OneDrive - Instituto Federal do Amazonas\IFAM\FISCALIZAÇÃO DE CONTRATOS\FISCALIZACAO REMANESCENTE REFEITORIO TABATINGA\PLANILHA DE MEDIÇÃO\MEDICAO 01\"/>
    </mc:Choice>
  </mc:AlternateContent>
  <xr:revisionPtr revIDLastSave="9" documentId="8_{338FE57F-6320-448B-A65B-0BD81252E97E}" xr6:coauthVersionLast="36" xr6:coauthVersionMax="36" xr10:uidLastSave="{0C92410C-74EE-401E-A19B-C1224EA3ED9E}"/>
  <bookViews>
    <workbookView xWindow="0" yWindow="0" windowWidth="28800" windowHeight="12336" xr2:uid="{00000000-000D-0000-FFFF-FFFF00000000}"/>
  </bookViews>
  <sheets>
    <sheet name="DIV, ALV, SOL, PEIT, VERGA" sheetId="1" r:id="rId1"/>
    <sheet name="RESUMO" sheetId="2" r:id="rId2"/>
  </sheets>
  <definedNames>
    <definedName name="_xlnm.Print_Area" localSheetId="0">'DIV, ALV, SOL, PEIT, VERGA'!$B$1:$AC$137</definedName>
    <definedName name="_xlnm.Print_Area" localSheetId="1">RESUMO!$A$1:$F$28</definedName>
    <definedName name="_xlnm.Print_Titles" localSheetId="0">'DIV, ALV, SOL, PEIT, VERGA'!$1:$13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6" i="1" l="1"/>
  <c r="S116" i="1"/>
  <c r="I18" i="1"/>
  <c r="I28" i="1" l="1"/>
  <c r="J27" i="1"/>
  <c r="K26" i="1"/>
  <c r="K25" i="1"/>
  <c r="K30" i="1"/>
  <c r="K29" i="1"/>
  <c r="E39" i="1"/>
  <c r="D19" i="2" s="1"/>
  <c r="E38" i="1"/>
  <c r="D18" i="2" s="1"/>
  <c r="E41" i="1"/>
  <c r="D21" i="2" s="1"/>
  <c r="E40" i="1"/>
  <c r="D20" i="2" s="1"/>
  <c r="E36" i="1"/>
  <c r="D16" i="2" s="1"/>
  <c r="E37" i="1"/>
  <c r="D17" i="2" s="1"/>
  <c r="H19" i="1"/>
  <c r="H18" i="1"/>
  <c r="J31" i="1"/>
  <c r="J30" i="1"/>
  <c r="J29" i="1"/>
  <c r="J28" i="1"/>
  <c r="J26" i="1"/>
  <c r="J25" i="1"/>
  <c r="K33" i="1" l="1"/>
  <c r="L107" i="1"/>
  <c r="I107" i="1"/>
  <c r="M107" i="1" s="1"/>
  <c r="L106" i="1"/>
  <c r="I106" i="1"/>
  <c r="L114" i="1"/>
  <c r="I114" i="1"/>
  <c r="M114" i="1" s="1"/>
  <c r="L113" i="1"/>
  <c r="M113" i="1" s="1"/>
  <c r="I113" i="1"/>
  <c r="L112" i="1"/>
  <c r="I112" i="1"/>
  <c r="L111" i="1"/>
  <c r="I111" i="1"/>
  <c r="M111" i="1" s="1"/>
  <c r="L110" i="1"/>
  <c r="I110" i="1"/>
  <c r="M110" i="1" s="1"/>
  <c r="L109" i="1"/>
  <c r="M109" i="1" s="1"/>
  <c r="I109" i="1"/>
  <c r="L108" i="1"/>
  <c r="I108" i="1"/>
  <c r="M108" i="1" s="1"/>
  <c r="F109" i="1"/>
  <c r="F108" i="1"/>
  <c r="F107" i="1"/>
  <c r="D101" i="1"/>
  <c r="L102" i="1"/>
  <c r="I102" i="1"/>
  <c r="F102" i="1"/>
  <c r="L104" i="1"/>
  <c r="I104" i="1"/>
  <c r="F104" i="1"/>
  <c r="L103" i="1"/>
  <c r="I103" i="1"/>
  <c r="F103" i="1"/>
  <c r="L100" i="1"/>
  <c r="I100" i="1"/>
  <c r="L99" i="1"/>
  <c r="I99" i="1"/>
  <c r="L98" i="1"/>
  <c r="I98" i="1"/>
  <c r="L97" i="1"/>
  <c r="I97" i="1"/>
  <c r="F100" i="1"/>
  <c r="F99" i="1"/>
  <c r="F98" i="1"/>
  <c r="F97" i="1"/>
  <c r="F95" i="1"/>
  <c r="F94" i="1"/>
  <c r="L95" i="1"/>
  <c r="I95" i="1"/>
  <c r="L94" i="1"/>
  <c r="I94" i="1"/>
  <c r="D93" i="1"/>
  <c r="D88" i="1"/>
  <c r="L90" i="1"/>
  <c r="I90" i="1"/>
  <c r="D90" i="1"/>
  <c r="F90" i="1" s="1"/>
  <c r="M95" i="1" l="1"/>
  <c r="M100" i="1"/>
  <c r="M102" i="1"/>
  <c r="P102" i="1" s="1"/>
  <c r="M112" i="1"/>
  <c r="R112" i="1" s="1"/>
  <c r="R108" i="1"/>
  <c r="N108" i="1"/>
  <c r="O108" i="1" s="1"/>
  <c r="Q108" i="1"/>
  <c r="P108" i="1"/>
  <c r="Q110" i="1"/>
  <c r="R110" i="1"/>
  <c r="P110" i="1"/>
  <c r="N110" i="1"/>
  <c r="O110" i="1" s="1"/>
  <c r="Q113" i="1"/>
  <c r="P113" i="1"/>
  <c r="R113" i="1"/>
  <c r="N113" i="1"/>
  <c r="O113" i="1" s="1"/>
  <c r="R114" i="1"/>
  <c r="Q114" i="1"/>
  <c r="P114" i="1"/>
  <c r="N114" i="1"/>
  <c r="O114" i="1" s="1"/>
  <c r="R109" i="1"/>
  <c r="Q109" i="1"/>
  <c r="P109" i="1"/>
  <c r="N109" i="1"/>
  <c r="O109" i="1" s="1"/>
  <c r="R111" i="1"/>
  <c r="Q111" i="1"/>
  <c r="P111" i="1"/>
  <c r="N111" i="1"/>
  <c r="O111" i="1" s="1"/>
  <c r="P112" i="1"/>
  <c r="N112" i="1"/>
  <c r="O112" i="1" s="1"/>
  <c r="R107" i="1"/>
  <c r="Q107" i="1"/>
  <c r="N107" i="1"/>
  <c r="O107" i="1" s="1"/>
  <c r="Q100" i="1"/>
  <c r="M104" i="1"/>
  <c r="R104" i="1" s="1"/>
  <c r="R102" i="1"/>
  <c r="M103" i="1"/>
  <c r="R103" i="1" s="1"/>
  <c r="N100" i="1"/>
  <c r="O100" i="1" s="1"/>
  <c r="P100" i="1"/>
  <c r="R100" i="1"/>
  <c r="M99" i="1"/>
  <c r="M97" i="1"/>
  <c r="N97" i="1" s="1"/>
  <c r="M94" i="1"/>
  <c r="R94" i="1" s="1"/>
  <c r="M98" i="1"/>
  <c r="R95" i="1"/>
  <c r="O95" i="1"/>
  <c r="P95" i="1"/>
  <c r="N95" i="1"/>
  <c r="Q95" i="1" s="1"/>
  <c r="M90" i="1"/>
  <c r="N90" i="1" s="1"/>
  <c r="Q90" i="1" s="1"/>
  <c r="D84" i="1"/>
  <c r="L85" i="1"/>
  <c r="I85" i="1"/>
  <c r="F85" i="1"/>
  <c r="L86" i="1"/>
  <c r="I86" i="1"/>
  <c r="F86" i="1"/>
  <c r="D81" i="1"/>
  <c r="L82" i="1"/>
  <c r="I82" i="1"/>
  <c r="F82" i="1"/>
  <c r="D76" i="1"/>
  <c r="L77" i="1"/>
  <c r="I77" i="1"/>
  <c r="F77" i="1"/>
  <c r="H31" i="1"/>
  <c r="H30" i="1"/>
  <c r="H29" i="1"/>
  <c r="H27" i="1"/>
  <c r="H26" i="1"/>
  <c r="H25" i="1"/>
  <c r="D116" i="1" l="1"/>
  <c r="E124" i="1" s="1"/>
  <c r="N102" i="1"/>
  <c r="O102" i="1" s="1"/>
  <c r="Q112" i="1"/>
  <c r="P107" i="1"/>
  <c r="N104" i="1"/>
  <c r="O104" i="1" s="1"/>
  <c r="Q104" i="1"/>
  <c r="P104" i="1"/>
  <c r="Q102" i="1"/>
  <c r="N103" i="1"/>
  <c r="O103" i="1" s="1"/>
  <c r="Q103" i="1"/>
  <c r="P103" i="1"/>
  <c r="Q98" i="1"/>
  <c r="R98" i="1"/>
  <c r="P98" i="1"/>
  <c r="Q97" i="1"/>
  <c r="O97" i="1"/>
  <c r="P97" i="1"/>
  <c r="R97" i="1"/>
  <c r="N94" i="1"/>
  <c r="O94" i="1" s="1"/>
  <c r="R99" i="1"/>
  <c r="Q99" i="1"/>
  <c r="P99" i="1"/>
  <c r="P94" i="1"/>
  <c r="N98" i="1"/>
  <c r="O98" i="1" s="1"/>
  <c r="N99" i="1"/>
  <c r="O99" i="1" s="1"/>
  <c r="M82" i="1"/>
  <c r="P82" i="1" s="1"/>
  <c r="R90" i="1"/>
  <c r="P90" i="1"/>
  <c r="O90" i="1"/>
  <c r="M85" i="1"/>
  <c r="Q85" i="1" s="1"/>
  <c r="M86" i="1"/>
  <c r="R86" i="1" s="1"/>
  <c r="M77" i="1"/>
  <c r="N77" i="1" s="1"/>
  <c r="Q94" i="1" l="1"/>
  <c r="R82" i="1"/>
  <c r="N82" i="1"/>
  <c r="Q82" i="1" s="1"/>
  <c r="P85" i="1"/>
  <c r="Q86" i="1"/>
  <c r="N86" i="1"/>
  <c r="O86" i="1" s="1"/>
  <c r="P86" i="1"/>
  <c r="N85" i="1"/>
  <c r="O85" i="1" s="1"/>
  <c r="R85" i="1"/>
  <c r="R77" i="1"/>
  <c r="O77" i="1"/>
  <c r="P77" i="1"/>
  <c r="Q77" i="1"/>
  <c r="F50" i="1"/>
  <c r="O82" i="1" l="1"/>
  <c r="I96" i="1"/>
  <c r="F96" i="1"/>
  <c r="I92" i="1"/>
  <c r="F92" i="1"/>
  <c r="I87" i="1"/>
  <c r="F87" i="1"/>
  <c r="L80" i="1"/>
  <c r="I80" i="1"/>
  <c r="F80" i="1"/>
  <c r="L83" i="1"/>
  <c r="F83" i="1"/>
  <c r="L78" i="1"/>
  <c r="F78" i="1"/>
  <c r="F32" i="1"/>
  <c r="G32" i="1" s="1"/>
  <c r="H32" i="1"/>
  <c r="I32" i="1"/>
  <c r="J32" i="1"/>
  <c r="F26" i="1"/>
  <c r="G26" i="1" s="1"/>
  <c r="I78" i="1" l="1"/>
  <c r="M78" i="1" s="1"/>
  <c r="M80" i="1"/>
  <c r="P80" i="1" s="1"/>
  <c r="F57" i="1"/>
  <c r="E67" i="1" s="1"/>
  <c r="D23" i="2" s="1"/>
  <c r="P78" i="1" l="1"/>
  <c r="O78" i="1"/>
  <c r="Q78" i="1"/>
  <c r="R80" i="1"/>
  <c r="N78" i="1"/>
  <c r="R78" i="1" s="1"/>
  <c r="N80" i="1"/>
  <c r="Q80" i="1" s="1"/>
  <c r="O80" i="1"/>
  <c r="L88" i="1"/>
  <c r="L89" i="1"/>
  <c r="L105" i="1"/>
  <c r="L115" i="1"/>
  <c r="I79" i="1"/>
  <c r="I105" i="1"/>
  <c r="I115" i="1"/>
  <c r="M115" i="1" l="1"/>
  <c r="P115" i="1" s="1"/>
  <c r="M106" i="1"/>
  <c r="R106" i="1" s="1"/>
  <c r="M105" i="1"/>
  <c r="R105" i="1" s="1"/>
  <c r="R115" i="1" l="1"/>
  <c r="P105" i="1"/>
  <c r="F29" i="1"/>
  <c r="G29" i="1" s="1"/>
  <c r="F19" i="1"/>
  <c r="G19" i="1" l="1"/>
  <c r="L76" i="1"/>
  <c r="F93" i="1" l="1"/>
  <c r="F63" i="1" l="1"/>
  <c r="F62" i="1"/>
  <c r="N115" i="1" l="1"/>
  <c r="O115" i="1" s="1"/>
  <c r="Q115" i="1"/>
  <c r="F61" i="1"/>
  <c r="F55" i="1"/>
  <c r="F54" i="1"/>
  <c r="F53" i="1"/>
  <c r="F18" i="1" l="1"/>
  <c r="L96" i="1" s="1"/>
  <c r="M96" i="1" s="1"/>
  <c r="F20" i="1"/>
  <c r="F21" i="1"/>
  <c r="G21" i="1" s="1"/>
  <c r="F25" i="1"/>
  <c r="I84" i="1" s="1"/>
  <c r="F27" i="1"/>
  <c r="I83" i="1" s="1"/>
  <c r="M83" i="1" s="1"/>
  <c r="F28" i="1"/>
  <c r="F30" i="1"/>
  <c r="F31" i="1"/>
  <c r="G31" i="1" s="1"/>
  <c r="F49" i="1"/>
  <c r="E66" i="1" s="1"/>
  <c r="F51" i="1"/>
  <c r="F52" i="1"/>
  <c r="F56" i="1"/>
  <c r="F58" i="1"/>
  <c r="F59" i="1"/>
  <c r="F60" i="1"/>
  <c r="F76" i="1"/>
  <c r="F81" i="1"/>
  <c r="F84" i="1"/>
  <c r="F88" i="1"/>
  <c r="F91" i="1"/>
  <c r="F79" i="1"/>
  <c r="F101" i="1"/>
  <c r="F105" i="1"/>
  <c r="F106" i="1"/>
  <c r="O96" i="1" l="1"/>
  <c r="N96" i="1"/>
  <c r="R96" i="1" s="1"/>
  <c r="P96" i="1"/>
  <c r="Q96" i="1"/>
  <c r="L87" i="1"/>
  <c r="M87" i="1" s="1"/>
  <c r="O87" i="1" s="1"/>
  <c r="L92" i="1"/>
  <c r="M92" i="1" s="1"/>
  <c r="P83" i="1"/>
  <c r="O83" i="1"/>
  <c r="N83" i="1"/>
  <c r="R83" i="1" s="1"/>
  <c r="G25" i="1"/>
  <c r="I76" i="1"/>
  <c r="M76" i="1" s="1"/>
  <c r="I101" i="1"/>
  <c r="I91" i="1"/>
  <c r="I81" i="1"/>
  <c r="L79" i="1"/>
  <c r="M79" i="1" s="1"/>
  <c r="L91" i="1"/>
  <c r="L101" i="1"/>
  <c r="L81" i="1"/>
  <c r="L93" i="1"/>
  <c r="L84" i="1"/>
  <c r="M84" i="1" s="1"/>
  <c r="N84" i="1" s="1"/>
  <c r="N106" i="1"/>
  <c r="Q106" i="1"/>
  <c r="I89" i="1"/>
  <c r="M89" i="1" s="1"/>
  <c r="I93" i="1"/>
  <c r="N105" i="1"/>
  <c r="O105" i="1" s="1"/>
  <c r="Q105" i="1"/>
  <c r="I88" i="1"/>
  <c r="M88" i="1" s="1"/>
  <c r="D22" i="2"/>
  <c r="G28" i="1"/>
  <c r="G30" i="1"/>
  <c r="H22" i="1"/>
  <c r="J33" i="1"/>
  <c r="G27" i="1"/>
  <c r="G20" i="1"/>
  <c r="G18" i="1"/>
  <c r="I33" i="1"/>
  <c r="H33" i="1"/>
  <c r="E35" i="1" s="1"/>
  <c r="F116" i="1"/>
  <c r="O106" i="1" l="1"/>
  <c r="P106" i="1"/>
  <c r="Q87" i="1"/>
  <c r="N87" i="1"/>
  <c r="R87" i="1" s="1"/>
  <c r="P92" i="1"/>
  <c r="Q92" i="1"/>
  <c r="N92" i="1"/>
  <c r="R92" i="1" s="1"/>
  <c r="O92" i="1"/>
  <c r="N88" i="1"/>
  <c r="N79" i="1"/>
  <c r="P79" i="1" s="1"/>
  <c r="Q79" i="1"/>
  <c r="Q83" i="1"/>
  <c r="M93" i="1"/>
  <c r="O93" i="1" s="1"/>
  <c r="R84" i="1"/>
  <c r="P84" i="1"/>
  <c r="Q84" i="1"/>
  <c r="O84" i="1"/>
  <c r="M81" i="1"/>
  <c r="M101" i="1"/>
  <c r="P88" i="1"/>
  <c r="O79" i="1"/>
  <c r="M91" i="1"/>
  <c r="N76" i="1"/>
  <c r="R76" i="1" s="1"/>
  <c r="Q76" i="1"/>
  <c r="O76" i="1"/>
  <c r="P76" i="1"/>
  <c r="O89" i="1"/>
  <c r="R89" i="1"/>
  <c r="Q89" i="1"/>
  <c r="Q88" i="1"/>
  <c r="G33" i="1"/>
  <c r="D15" i="2"/>
  <c r="D14" i="2"/>
  <c r="G22" i="1"/>
  <c r="P87" i="1" l="1"/>
  <c r="R79" i="1"/>
  <c r="O88" i="1"/>
  <c r="N93" i="1"/>
  <c r="R93" i="1" s="1"/>
  <c r="P93" i="1"/>
  <c r="Q93" i="1"/>
  <c r="R88" i="1"/>
  <c r="P89" i="1"/>
  <c r="Q81" i="1"/>
  <c r="O81" i="1"/>
  <c r="N81" i="1"/>
  <c r="R81" i="1" s="1"/>
  <c r="P91" i="1"/>
  <c r="Q91" i="1"/>
  <c r="O91" i="1"/>
  <c r="N91" i="1"/>
  <c r="R91" i="1" s="1"/>
  <c r="O101" i="1"/>
  <c r="P101" i="1"/>
  <c r="Q101" i="1"/>
  <c r="N101" i="1"/>
  <c r="R101" i="1" s="1"/>
  <c r="P81" i="1" l="1"/>
  <c r="P116" i="1" s="1"/>
  <c r="E120" i="1" s="1"/>
  <c r="D25" i="2" s="1"/>
  <c r="O116" i="1"/>
  <c r="E119" i="1" s="1"/>
  <c r="D24" i="2" s="1"/>
  <c r="Q116" i="1"/>
  <c r="E121" i="1" s="1"/>
  <c r="D26" i="2" s="1"/>
  <c r="R116" i="1"/>
  <c r="E122" i="1" s="1"/>
  <c r="D27" i="2" s="1"/>
</calcChain>
</file>

<file path=xl/sharedStrings.xml><?xml version="1.0" encoding="utf-8"?>
<sst xmlns="http://schemas.openxmlformats.org/spreadsheetml/2006/main" count="258" uniqueCount="115">
  <si>
    <t>m²</t>
  </si>
  <si>
    <t>TOTAL</t>
  </si>
  <si>
    <t>P 01</t>
  </si>
  <si>
    <t>J 01</t>
  </si>
  <si>
    <t>J 02</t>
  </si>
  <si>
    <t>AREA</t>
  </si>
  <si>
    <t>QNT</t>
  </si>
  <si>
    <t>TIPO</t>
  </si>
  <si>
    <t>AREA REAL</t>
  </si>
  <si>
    <t>DESCONTO ESQUADRIAS</t>
  </si>
  <si>
    <t>ALTURA</t>
  </si>
  <si>
    <t>PERIMETRO</t>
  </si>
  <si>
    <t>ESP PAREDE</t>
  </si>
  <si>
    <t>AMBIENTE</t>
  </si>
  <si>
    <t>altura</t>
  </si>
  <si>
    <t>P 03</t>
  </si>
  <si>
    <t>J 07</t>
  </si>
  <si>
    <t>J 05</t>
  </si>
  <si>
    <t>P 04</t>
  </si>
  <si>
    <t>J 06</t>
  </si>
  <si>
    <t>TERREO</t>
  </si>
  <si>
    <t>ALVENARIA</t>
  </si>
  <si>
    <t>COMP.</t>
  </si>
  <si>
    <t>QUANT</t>
  </si>
  <si>
    <t>Local</t>
  </si>
  <si>
    <t>DIVISÓRIA EM GRANITO</t>
  </si>
  <si>
    <t>m</t>
  </si>
  <si>
    <t>TOTAL DE PEITORIL</t>
  </si>
  <si>
    <t>TOTAL:</t>
  </si>
  <si>
    <t>VERGA</t>
  </si>
  <si>
    <t>area total</t>
  </si>
  <si>
    <t>area m2</t>
  </si>
  <si>
    <t>Altura</t>
  </si>
  <si>
    <t>Largura(m)</t>
  </si>
  <si>
    <t>JANELAS</t>
  </si>
  <si>
    <t>PORTAS</t>
  </si>
  <si>
    <t>PEITORIL, SOLEIRA, VERGA E CONTRA VERGA</t>
  </si>
  <si>
    <t>REPÚBLICA FEDERATIVA DO BRASIL</t>
  </si>
  <si>
    <t>DESCRIÇÃO</t>
  </si>
  <si>
    <t>UND</t>
  </si>
  <si>
    <t>M</t>
  </si>
  <si>
    <t>PEITORIL</t>
  </si>
  <si>
    <t>M2</t>
  </si>
  <si>
    <t>ENCUNHAMENTO</t>
  </si>
  <si>
    <t>WC MASC. E FEM.</t>
  </si>
  <si>
    <t>PRÉ-HIGIENIZAÇÃO</t>
  </si>
  <si>
    <t>DML</t>
  </si>
  <si>
    <t>DESPENSA</t>
  </si>
  <si>
    <t>COCÇÃO</t>
  </si>
  <si>
    <t>LIXO</t>
  </si>
  <si>
    <t>SANIT. / VEST.</t>
  </si>
  <si>
    <t>W. C. MASCULINO</t>
  </si>
  <si>
    <t>SANIT. / VEST</t>
  </si>
  <si>
    <t>ANEXO 3</t>
  </si>
  <si>
    <t>LANCHONETE (DISTRIBUIÇÃO)</t>
  </si>
  <si>
    <t>LANCHONETE (CANTINA)</t>
  </si>
  <si>
    <t>P 02</t>
  </si>
  <si>
    <t>J 03</t>
  </si>
  <si>
    <t>ALVENARIA 1/2 VEZ COM A &lt; 6M² (SEM VÃOS) =</t>
  </si>
  <si>
    <t>ALVENARIA 1/2 VEZ COM A &lt; 6M² (COM VÃOS) =</t>
  </si>
  <si>
    <t>ALVENARIA 1/2 VEZ COM A &gt;= 6M² (SEM VÃOS) =</t>
  </si>
  <si>
    <t>ALVENARIA 1/2 VEZ COM A &gt;= 6M² (COM VÃOS) =</t>
  </si>
  <si>
    <t>D. TOTAL</t>
  </si>
  <si>
    <t>A &lt; 6m² (S/VÃOS)</t>
  </si>
  <si>
    <t>A &lt; 6m² (C/VÃOS)</t>
  </si>
  <si>
    <t>A &gt;= 6m² (S/VÃOS)</t>
  </si>
  <si>
    <t>A &gt;= 6m² (C/VÃOS)</t>
  </si>
  <si>
    <t>ALVENARIA 1/2 VEZ COM ÁREA &lt; 6M² (SEM VÃOS)</t>
  </si>
  <si>
    <t>ALVENARIA 1/2 VEZ COM ÁREA &lt; 6M² (COM VÃOS)</t>
  </si>
  <si>
    <t>ALVENARIA 1/2 VEZ COM ÁREA &gt;= 6M² (SEM VÃOS)</t>
  </si>
  <si>
    <t>ALVENARIA 1/2 VEZ COM ÁREA &gt;= 6M² (COM VÃOS)</t>
  </si>
  <si>
    <t>J 01B</t>
  </si>
  <si>
    <t>WC MASC BOX VASO  ALUNOS</t>
  </si>
  <si>
    <t>WC MASC BOX VASO  ALUNOS (Frente 3)</t>
  </si>
  <si>
    <t>WC MASC BOX VASO  ALUNOS (Frente 1)</t>
  </si>
  <si>
    <t>WC MASC BOX ACESSIVEL</t>
  </si>
  <si>
    <t>WC MASC BOX ACESSIVEL (Frente)</t>
  </si>
  <si>
    <t>WC MASC BOX CHUV. ALUNOS</t>
  </si>
  <si>
    <t>WC MASC BOX MICT ALUNOS</t>
  </si>
  <si>
    <t>WC FEM BOX VASO E CHUV.</t>
  </si>
  <si>
    <t>WC FEM BOX ACESSIVEL</t>
  </si>
  <si>
    <t>WC FEM BOX VASO  E CHUV (FRENTE)</t>
  </si>
  <si>
    <t>RECOMPOSIÇÃO VÃOS DE 8 ESQUADRIAS RETIRADAS</t>
  </si>
  <si>
    <r>
      <t xml:space="preserve">Endereço: </t>
    </r>
    <r>
      <rPr>
        <sz val="9"/>
        <color indexed="8"/>
        <rFont val="Arial"/>
        <family val="2"/>
      </rPr>
      <t xml:space="preserve">Avenida Santos Dumont, S/Nº. Bairro: Expansão Município: Tabatinga/AM – CEP: 69.640-000 </t>
    </r>
  </si>
  <si>
    <t>MEMÓRIA DE CÁLCULO - PEITORIL, SOLEIRA, VERGA, CONTRA VERGA, DIVISÓRIAS E ALVENARIA</t>
  </si>
  <si>
    <t>PEITORIL (M)</t>
  </si>
  <si>
    <t>LARGURA (M)</t>
  </si>
  <si>
    <t>ALTURA (M)</t>
  </si>
  <si>
    <t>ÁREA (M2)</t>
  </si>
  <si>
    <t>ÁREA TOTAL (M2)</t>
  </si>
  <si>
    <t>C. VERGA (M)</t>
  </si>
  <si>
    <t xml:space="preserve">JANELAS </t>
  </si>
  <si>
    <t>RECOMPOSIÇÃO PORTA DE ENTRADA ANTIGA</t>
  </si>
  <si>
    <t>VERGA PARA PORTAS COM ATÉ 1,5M DE VÃO</t>
  </si>
  <si>
    <t>TRANSPASSE</t>
  </si>
  <si>
    <t>CONTRA V. PARA VÃOS DE ATÉ 1,5M</t>
  </si>
  <si>
    <t xml:space="preserve">CONTRA V. PARA VÃOS DE MAIS 1,5M </t>
  </si>
  <si>
    <t>VERGAS PARA PORTAS COM MAIS DE 1,5M DE VÃO</t>
  </si>
  <si>
    <t>VERGA PARA JANELAS VÃOS DE ATÉ 1,5M</t>
  </si>
  <si>
    <t xml:space="preserve">VERGA PARA JANELAS VÃOS DE MAIS 1,5M </t>
  </si>
  <si>
    <t>DESCONTO DO ENCUNHAMENTO</t>
  </si>
  <si>
    <t>MINISTÉRIO DA EDUCAÇÃO - MEC</t>
  </si>
  <si>
    <t>SECRETARIA DA EDUCAÇÃO MÉDIA E TECNOLÓGICA - SEMTEC</t>
  </si>
  <si>
    <t>INSTITUTO DE EDUCAÇÃO CIENCIA E TECNOLOGIA DO AMAZONAS - IFAM</t>
  </si>
  <si>
    <t>SECRETARIA DA EDUCAÇÃO MÉDIA TECNOLÓGICA - SEMTEC</t>
  </si>
  <si>
    <t>TOTAL DIVISÓRIAS EM GRANITO, TIPO CABINE</t>
  </si>
  <si>
    <t>TOTAL TAPA VISTA EM GRANITO, MICTORIO</t>
  </si>
  <si>
    <t>TAPA VISTA EM GRANITO</t>
  </si>
  <si>
    <t>DIRETORIA DE INFRAESTRUTURA - DINFRA</t>
  </si>
  <si>
    <t xml:space="preserve"> PRÓ-REITORIA DE ADMINISTRAÇÃO - PROAD</t>
  </si>
  <si>
    <r>
      <t xml:space="preserve">Objeto: Conclusão da </t>
    </r>
    <r>
      <rPr>
        <i/>
        <sz val="9"/>
        <color indexed="8"/>
        <rFont val="Arial"/>
        <family val="2"/>
      </rPr>
      <t>Reforma e Ampliação do Refeitório do Campus Tabatinga</t>
    </r>
  </si>
  <si>
    <t>ok</t>
  </si>
  <si>
    <t>MED01-VERGA</t>
  </si>
  <si>
    <t>MED01-Alve</t>
  </si>
  <si>
    <t>MED01-Enc.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</si>
</sst>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color indexed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Verdana"/>
      <family val="2"/>
    </font>
    <font>
      <b/>
      <i/>
      <sz val="9"/>
      <color indexed="8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i/>
      <sz val="9"/>
      <color indexed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34">
    <xf numFmtId="0" fontId="0" fillId="0" borderId="0" xfId="0"/>
    <xf numFmtId="0" fontId="0" fillId="2" borderId="0" xfId="0" applyFill="1"/>
    <xf numFmtId="43" fontId="2" fillId="2" borderId="0" xfId="1" applyFont="1" applyFill="1" applyBorder="1" applyAlignment="1">
      <alignment horizontal="center"/>
    </xf>
    <xf numFmtId="43" fontId="0" fillId="2" borderId="0" xfId="1" applyFont="1" applyFill="1" applyBorder="1" applyAlignment="1">
      <alignment horizontal="center"/>
    </xf>
    <xf numFmtId="43" fontId="0" fillId="0" borderId="0" xfId="1" applyFont="1"/>
    <xf numFmtId="43" fontId="0" fillId="0" borderId="0" xfId="1" applyFont="1" applyBorder="1"/>
    <xf numFmtId="43" fontId="0" fillId="0" borderId="0" xfId="1" applyFont="1" applyFill="1" applyBorder="1"/>
    <xf numFmtId="0" fontId="4" fillId="0" borderId="0" xfId="0" applyFont="1" applyFill="1" applyBorder="1"/>
    <xf numFmtId="0" fontId="2" fillId="2" borderId="0" xfId="0" applyFont="1" applyFill="1" applyBorder="1" applyAlignment="1"/>
    <xf numFmtId="0" fontId="0" fillId="2" borderId="0" xfId="0" applyFill="1" applyBorder="1"/>
    <xf numFmtId="0" fontId="3" fillId="0" borderId="20" xfId="0" applyFont="1" applyBorder="1"/>
    <xf numFmtId="0" fontId="2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 vertical="center"/>
    </xf>
    <xf numFmtId="43" fontId="0" fillId="0" borderId="17" xfId="1" applyFont="1" applyBorder="1"/>
    <xf numFmtId="43" fontId="0" fillId="0" borderId="7" xfId="1" applyFont="1" applyBorder="1"/>
    <xf numFmtId="0" fontId="2" fillId="0" borderId="8" xfId="0" applyFont="1" applyBorder="1"/>
    <xf numFmtId="0" fontId="9" fillId="0" borderId="8" xfId="0" applyFont="1" applyBorder="1" applyAlignment="1">
      <alignment horizontal="left" vertical="top"/>
    </xf>
    <xf numFmtId="43" fontId="0" fillId="0" borderId="7" xfId="0" applyNumberFormat="1" applyBorder="1"/>
    <xf numFmtId="43" fontId="2" fillId="7" borderId="5" xfId="1" applyFont="1" applyFill="1" applyBorder="1" applyAlignment="1">
      <alignment horizontal="center"/>
    </xf>
    <xf numFmtId="43" fontId="2" fillId="7" borderId="6" xfId="1" applyFont="1" applyFill="1" applyBorder="1" applyAlignment="1">
      <alignment horizontal="center"/>
    </xf>
    <xf numFmtId="0" fontId="2" fillId="7" borderId="9" xfId="0" applyFont="1" applyFill="1" applyBorder="1"/>
    <xf numFmtId="0" fontId="3" fillId="6" borderId="23" xfId="0" applyFont="1" applyFill="1" applyBorder="1" applyAlignment="1">
      <alignment horizontal="center"/>
    </xf>
    <xf numFmtId="2" fontId="4" fillId="6" borderId="24" xfId="0" applyNumberFormat="1" applyFont="1" applyFill="1" applyBorder="1" applyAlignment="1">
      <alignment horizontal="center" vertical="center"/>
    </xf>
    <xf numFmtId="43" fontId="0" fillId="0" borderId="28" xfId="1" applyFont="1" applyBorder="1" applyAlignment="1">
      <alignment horizontal="center"/>
    </xf>
    <xf numFmtId="43" fontId="2" fillId="6" borderId="29" xfId="1" applyFont="1" applyFill="1" applyBorder="1"/>
    <xf numFmtId="43" fontId="2" fillId="6" borderId="18" xfId="1" applyFont="1" applyFill="1" applyBorder="1"/>
    <xf numFmtId="43" fontId="2" fillId="6" borderId="11" xfId="1" applyFont="1" applyFill="1" applyBorder="1" applyAlignment="1">
      <alignment horizontal="center"/>
    </xf>
    <xf numFmtId="43" fontId="0" fillId="6" borderId="18" xfId="1" applyFont="1" applyFill="1" applyBorder="1"/>
    <xf numFmtId="0" fontId="0" fillId="0" borderId="0" xfId="0" applyBorder="1"/>
    <xf numFmtId="43" fontId="4" fillId="0" borderId="1" xfId="1" applyFont="1" applyBorder="1"/>
    <xf numFmtId="43" fontId="4" fillId="0" borderId="15" xfId="1" applyFont="1" applyBorder="1"/>
    <xf numFmtId="43" fontId="4" fillId="0" borderId="2" xfId="1" applyFont="1" applyBorder="1"/>
    <xf numFmtId="0" fontId="4" fillId="6" borderId="19" xfId="0" applyFont="1" applyFill="1" applyBorder="1"/>
    <xf numFmtId="0" fontId="0" fillId="0" borderId="0" xfId="0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1" fillId="0" borderId="0" xfId="2"/>
    <xf numFmtId="0" fontId="12" fillId="0" borderId="0" xfId="0" applyFont="1" applyBorder="1" applyAlignment="1"/>
    <xf numFmtId="0" fontId="13" fillId="0" borderId="0" xfId="0" applyFont="1"/>
    <xf numFmtId="0" fontId="11" fillId="0" borderId="0" xfId="0" applyFont="1" applyBorder="1" applyAlignment="1"/>
    <xf numFmtId="0" fontId="13" fillId="0" borderId="0" xfId="0" applyFont="1" applyBorder="1"/>
    <xf numFmtId="0" fontId="0" fillId="0" borderId="8" xfId="0" applyFont="1" applyBorder="1"/>
    <xf numFmtId="0" fontId="15" fillId="8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9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9" fillId="0" borderId="0" xfId="0" applyFont="1" applyBorder="1"/>
    <xf numFmtId="0" fontId="14" fillId="9" borderId="7" xfId="0" applyFont="1" applyFill="1" applyBorder="1" applyAlignment="1">
      <alignment vertical="center"/>
    </xf>
    <xf numFmtId="0" fontId="14" fillId="9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top"/>
    </xf>
    <xf numFmtId="43" fontId="0" fillId="2" borderId="0" xfId="1" applyFont="1" applyFill="1" applyBorder="1" applyAlignment="1">
      <alignment horizontal="center" vertical="center"/>
    </xf>
    <xf numFmtId="43" fontId="4" fillId="0" borderId="2" xfId="1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43" fontId="0" fillId="0" borderId="0" xfId="0" applyNumberFormat="1"/>
    <xf numFmtId="43" fontId="0" fillId="0" borderId="0" xfId="0" applyNumberFormat="1" applyBorder="1"/>
    <xf numFmtId="43" fontId="0" fillId="2" borderId="0" xfId="0" applyNumberFormat="1" applyFill="1" applyBorder="1"/>
    <xf numFmtId="0" fontId="3" fillId="0" borderId="0" xfId="0" applyFont="1" applyAlignment="1">
      <alignment horizontal="center"/>
    </xf>
    <xf numFmtId="43" fontId="4" fillId="0" borderId="14" xfId="1" applyFont="1" applyBorder="1" applyAlignment="1">
      <alignment horizontal="center" vertical="center"/>
    </xf>
    <xf numFmtId="2" fontId="4" fillId="10" borderId="32" xfId="0" applyNumberFormat="1" applyFont="1" applyFill="1" applyBorder="1" applyAlignment="1">
      <alignment horizontal="center" vertical="center"/>
    </xf>
    <xf numFmtId="0" fontId="3" fillId="10" borderId="33" xfId="0" applyFont="1" applyFill="1" applyBorder="1" applyAlignment="1">
      <alignment horizontal="center"/>
    </xf>
    <xf numFmtId="2" fontId="4" fillId="10" borderId="35" xfId="0" applyNumberFormat="1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horizontal="center"/>
    </xf>
    <xf numFmtId="2" fontId="4" fillId="10" borderId="38" xfId="0" applyNumberFormat="1" applyFont="1" applyFill="1" applyBorder="1" applyAlignment="1">
      <alignment horizontal="center" vertical="center"/>
    </xf>
    <xf numFmtId="0" fontId="3" fillId="10" borderId="39" xfId="0" applyFont="1" applyFill="1" applyBorder="1" applyAlignment="1">
      <alignment horizontal="center"/>
    </xf>
    <xf numFmtId="2" fontId="4" fillId="10" borderId="2" xfId="0" applyNumberFormat="1" applyFont="1" applyFill="1" applyBorder="1" applyAlignment="1">
      <alignment horizontal="center" vertical="center"/>
    </xf>
    <xf numFmtId="43" fontId="5" fillId="10" borderId="44" xfId="1" applyFont="1" applyFill="1" applyBorder="1" applyAlignment="1">
      <alignment horizontal="center" vertical="center"/>
    </xf>
    <xf numFmtId="43" fontId="5" fillId="10" borderId="44" xfId="1" applyFont="1" applyFill="1" applyBorder="1" applyAlignment="1">
      <alignment vertical="center" wrapText="1"/>
    </xf>
    <xf numFmtId="43" fontId="2" fillId="5" borderId="47" xfId="1" applyFont="1" applyFill="1" applyBorder="1" applyAlignment="1">
      <alignment vertical="center"/>
    </xf>
    <xf numFmtId="43" fontId="0" fillId="2" borderId="47" xfId="1" applyFont="1" applyFill="1" applyBorder="1" applyAlignment="1">
      <alignment horizontal="center" vertical="center"/>
    </xf>
    <xf numFmtId="43" fontId="2" fillId="2" borderId="47" xfId="1" applyFont="1" applyFill="1" applyBorder="1" applyAlignment="1">
      <alignment vertical="center"/>
    </xf>
    <xf numFmtId="43" fontId="6" fillId="11" borderId="47" xfId="1" applyNumberFormat="1" applyFont="1" applyFill="1" applyBorder="1" applyAlignment="1">
      <alignment vertical="center"/>
    </xf>
    <xf numFmtId="43" fontId="4" fillId="9" borderId="47" xfId="1" applyNumberFormat="1" applyFont="1" applyFill="1" applyBorder="1" applyAlignment="1" applyProtection="1">
      <alignment horizontal="center" vertical="center"/>
      <protection locked="0"/>
    </xf>
    <xf numFmtId="43" fontId="4" fillId="9" borderId="48" xfId="1" applyNumberFormat="1" applyFont="1" applyFill="1" applyBorder="1" applyAlignment="1" applyProtection="1">
      <alignment horizontal="center" vertical="center"/>
      <protection locked="0"/>
    </xf>
    <xf numFmtId="43" fontId="6" fillId="12" borderId="49" xfId="1" applyNumberFormat="1" applyFont="1" applyFill="1" applyBorder="1" applyAlignment="1">
      <alignment vertical="center"/>
    </xf>
    <xf numFmtId="43" fontId="4" fillId="9" borderId="50" xfId="1" applyNumberFormat="1" applyFont="1" applyFill="1" applyBorder="1" applyAlignment="1" applyProtection="1">
      <alignment horizontal="center" vertical="center"/>
      <protection locked="0"/>
    </xf>
    <xf numFmtId="43" fontId="0" fillId="2" borderId="50" xfId="1" applyFont="1" applyFill="1" applyBorder="1" applyAlignment="1">
      <alignment horizontal="center" vertical="center"/>
    </xf>
    <xf numFmtId="43" fontId="4" fillId="4" borderId="48" xfId="1" applyFont="1" applyFill="1" applyBorder="1" applyAlignment="1">
      <alignment vertical="center"/>
    </xf>
    <xf numFmtId="43" fontId="2" fillId="4" borderId="51" xfId="1" applyNumberFormat="1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 wrapText="1"/>
    </xf>
    <xf numFmtId="0" fontId="0" fillId="2" borderId="46" xfId="0" applyFont="1" applyFill="1" applyBorder="1" applyAlignment="1">
      <alignment horizontal="left" vertical="center" wrapText="1"/>
    </xf>
    <xf numFmtId="43" fontId="2" fillId="5" borderId="53" xfId="1" applyFont="1" applyFill="1" applyBorder="1" applyAlignment="1">
      <alignment horizontal="center" vertical="center"/>
    </xf>
    <xf numFmtId="43" fontId="4" fillId="4" borderId="54" xfId="1" applyFont="1" applyFill="1" applyBorder="1" applyAlignment="1">
      <alignment horizontal="center" vertical="center"/>
    </xf>
    <xf numFmtId="43" fontId="6" fillId="11" borderId="53" xfId="1" applyNumberFormat="1" applyFont="1" applyFill="1" applyBorder="1" applyAlignment="1">
      <alignment vertical="center"/>
    </xf>
    <xf numFmtId="43" fontId="6" fillId="12" borderId="56" xfId="1" applyNumberFormat="1" applyFont="1" applyFill="1" applyBorder="1" applyAlignment="1">
      <alignment vertical="center"/>
    </xf>
    <xf numFmtId="43" fontId="2" fillId="4" borderId="57" xfId="1" applyNumberFormat="1" applyFont="1" applyFill="1" applyBorder="1" applyAlignment="1">
      <alignment vertical="center"/>
    </xf>
    <xf numFmtId="43" fontId="4" fillId="9" borderId="55" xfId="1" applyNumberFormat="1" applyFont="1" applyFill="1" applyBorder="1" applyAlignment="1" applyProtection="1">
      <alignment horizontal="center" vertical="center"/>
      <protection locked="0"/>
    </xf>
    <xf numFmtId="43" fontId="4" fillId="9" borderId="53" xfId="1" applyNumberFormat="1" applyFont="1" applyFill="1" applyBorder="1" applyAlignment="1" applyProtection="1">
      <alignment horizontal="center" vertical="center"/>
      <protection locked="0"/>
    </xf>
    <xf numFmtId="43" fontId="4" fillId="9" borderId="54" xfId="1" applyNumberFormat="1" applyFont="1" applyFill="1" applyBorder="1" applyAlignment="1" applyProtection="1">
      <alignment horizontal="center" vertical="center"/>
      <protection locked="0"/>
    </xf>
    <xf numFmtId="43" fontId="2" fillId="5" borderId="12" xfId="1" applyFont="1" applyFill="1" applyBorder="1" applyAlignment="1">
      <alignment horizontal="center" vertical="center"/>
    </xf>
    <xf numFmtId="43" fontId="4" fillId="4" borderId="60" xfId="1" applyFont="1" applyFill="1" applyBorder="1" applyAlignment="1">
      <alignment horizontal="center" vertical="center"/>
    </xf>
    <xf numFmtId="43" fontId="0" fillId="2" borderId="61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vertical="center"/>
    </xf>
    <xf numFmtId="43" fontId="6" fillId="11" borderId="12" xfId="1" applyNumberFormat="1" applyFont="1" applyFill="1" applyBorder="1" applyAlignment="1">
      <alignment vertical="center"/>
    </xf>
    <xf numFmtId="43" fontId="0" fillId="2" borderId="12" xfId="1" applyFont="1" applyFill="1" applyBorder="1" applyAlignment="1">
      <alignment horizontal="center" vertical="center"/>
    </xf>
    <xf numFmtId="43" fontId="6" fillId="12" borderId="62" xfId="1" applyNumberFormat="1" applyFont="1" applyFill="1" applyBorder="1" applyAlignment="1">
      <alignment vertical="center"/>
    </xf>
    <xf numFmtId="43" fontId="2" fillId="4" borderId="30" xfId="1" applyNumberFormat="1" applyFont="1" applyFill="1" applyBorder="1" applyAlignment="1">
      <alignment vertical="center"/>
    </xf>
    <xf numFmtId="43" fontId="4" fillId="9" borderId="61" xfId="1" applyNumberFormat="1" applyFont="1" applyFill="1" applyBorder="1" applyAlignment="1" applyProtection="1">
      <alignment horizontal="center" vertical="center"/>
      <protection locked="0"/>
    </xf>
    <xf numFmtId="43" fontId="4" fillId="9" borderId="12" xfId="1" applyNumberFormat="1" applyFont="1" applyFill="1" applyBorder="1" applyAlignment="1" applyProtection="1">
      <alignment horizontal="center" vertical="center"/>
      <protection locked="0"/>
    </xf>
    <xf numFmtId="43" fontId="4" fillId="9" borderId="60" xfId="1" applyNumberFormat="1" applyFont="1" applyFill="1" applyBorder="1" applyAlignment="1" applyProtection="1">
      <alignment horizontal="center" vertical="center"/>
      <protection locked="0"/>
    </xf>
    <xf numFmtId="43" fontId="2" fillId="5" borderId="64" xfId="1" applyFont="1" applyFill="1" applyBorder="1" applyAlignment="1">
      <alignment horizontal="center" vertical="center"/>
    </xf>
    <xf numFmtId="43" fontId="4" fillId="4" borderId="65" xfId="1" applyFont="1" applyFill="1" applyBorder="1" applyAlignment="1">
      <alignment horizontal="center" vertical="center"/>
    </xf>
    <xf numFmtId="43" fontId="0" fillId="2" borderId="66" xfId="1" applyFont="1" applyFill="1" applyBorder="1" applyAlignment="1">
      <alignment horizontal="center" vertical="center"/>
    </xf>
    <xf numFmtId="43" fontId="2" fillId="2" borderId="64" xfId="1" applyFont="1" applyFill="1" applyBorder="1" applyAlignment="1">
      <alignment vertical="center"/>
    </xf>
    <xf numFmtId="43" fontId="6" fillId="11" borderId="64" xfId="1" applyNumberFormat="1" applyFont="1" applyFill="1" applyBorder="1" applyAlignment="1">
      <alignment vertical="center"/>
    </xf>
    <xf numFmtId="43" fontId="0" fillId="2" borderId="64" xfId="1" applyFont="1" applyFill="1" applyBorder="1" applyAlignment="1">
      <alignment horizontal="center" vertical="center"/>
    </xf>
    <xf numFmtId="43" fontId="6" fillId="12" borderId="67" xfId="1" applyNumberFormat="1" applyFont="1" applyFill="1" applyBorder="1" applyAlignment="1">
      <alignment vertical="center"/>
    </xf>
    <xf numFmtId="43" fontId="2" fillId="4" borderId="58" xfId="1" applyNumberFormat="1" applyFont="1" applyFill="1" applyBorder="1" applyAlignment="1">
      <alignment vertical="center"/>
    </xf>
    <xf numFmtId="43" fontId="4" fillId="9" borderId="66" xfId="1" applyNumberFormat="1" applyFont="1" applyFill="1" applyBorder="1" applyAlignment="1" applyProtection="1">
      <alignment horizontal="center" vertical="center"/>
      <protection locked="0"/>
    </xf>
    <xf numFmtId="43" fontId="4" fillId="9" borderId="64" xfId="1" applyNumberFormat="1" applyFont="1" applyFill="1" applyBorder="1" applyAlignment="1" applyProtection="1">
      <alignment horizontal="center" vertical="center"/>
      <protection locked="0"/>
    </xf>
    <xf numFmtId="43" fontId="4" fillId="9" borderId="65" xfId="1" applyNumberFormat="1" applyFont="1" applyFill="1" applyBorder="1" applyAlignment="1" applyProtection="1">
      <alignment horizontal="center" vertical="center"/>
      <protection locked="0"/>
    </xf>
    <xf numFmtId="43" fontId="2" fillId="5" borderId="70" xfId="1" applyFont="1" applyFill="1" applyBorder="1" applyAlignment="1">
      <alignment horizontal="center" vertical="center"/>
    </xf>
    <xf numFmtId="43" fontId="4" fillId="4" borderId="71" xfId="1" applyFont="1" applyFill="1" applyBorder="1" applyAlignment="1">
      <alignment horizontal="center" vertical="center"/>
    </xf>
    <xf numFmtId="43" fontId="0" fillId="2" borderId="72" xfId="1" applyFont="1" applyFill="1" applyBorder="1" applyAlignment="1">
      <alignment horizontal="center" vertical="center"/>
    </xf>
    <xf numFmtId="43" fontId="2" fillId="2" borderId="70" xfId="1" applyFont="1" applyFill="1" applyBorder="1" applyAlignment="1">
      <alignment vertical="center"/>
    </xf>
    <xf numFmtId="43" fontId="6" fillId="11" borderId="70" xfId="1" applyNumberFormat="1" applyFont="1" applyFill="1" applyBorder="1" applyAlignment="1">
      <alignment vertical="center"/>
    </xf>
    <xf numFmtId="43" fontId="0" fillId="2" borderId="70" xfId="1" applyFont="1" applyFill="1" applyBorder="1" applyAlignment="1">
      <alignment horizontal="center" vertical="center"/>
    </xf>
    <xf numFmtId="43" fontId="6" fillId="12" borderId="73" xfId="1" applyNumberFormat="1" applyFont="1" applyFill="1" applyBorder="1" applyAlignment="1">
      <alignment vertical="center"/>
    </xf>
    <xf numFmtId="43" fontId="2" fillId="4" borderId="68" xfId="1" applyNumberFormat="1" applyFont="1" applyFill="1" applyBorder="1" applyAlignment="1">
      <alignment vertical="center"/>
    </xf>
    <xf numFmtId="43" fontId="4" fillId="9" borderId="72" xfId="1" applyNumberFormat="1" applyFont="1" applyFill="1" applyBorder="1" applyAlignment="1" applyProtection="1">
      <alignment horizontal="center" vertical="center"/>
      <protection locked="0"/>
    </xf>
    <xf numFmtId="43" fontId="4" fillId="9" borderId="70" xfId="1" applyNumberFormat="1" applyFont="1" applyFill="1" applyBorder="1" applyAlignment="1" applyProtection="1">
      <alignment horizontal="center" vertical="center"/>
      <protection locked="0"/>
    </xf>
    <xf numFmtId="43" fontId="4" fillId="9" borderId="71" xfId="1" applyNumberFormat="1" applyFont="1" applyFill="1" applyBorder="1" applyAlignment="1" applyProtection="1">
      <alignment horizontal="center" vertical="center"/>
      <protection locked="0"/>
    </xf>
    <xf numFmtId="1" fontId="0" fillId="2" borderId="63" xfId="0" applyNumberFormat="1" applyFont="1" applyFill="1" applyBorder="1" applyAlignment="1">
      <alignment horizontal="left" vertical="center" wrapText="1"/>
    </xf>
    <xf numFmtId="43" fontId="2" fillId="5" borderId="64" xfId="1" applyFont="1" applyFill="1" applyBorder="1" applyAlignment="1">
      <alignment vertical="center"/>
    </xf>
    <xf numFmtId="43" fontId="4" fillId="4" borderId="65" xfId="1" applyFont="1" applyFill="1" applyBorder="1" applyAlignment="1">
      <alignment vertical="center"/>
    </xf>
    <xf numFmtId="1" fontId="0" fillId="2" borderId="9" xfId="0" applyNumberFormat="1" applyFont="1" applyFill="1" applyBorder="1" applyAlignment="1">
      <alignment horizontal="left" vertical="center" wrapText="1"/>
    </xf>
    <xf numFmtId="43" fontId="2" fillId="5" borderId="6" xfId="1" applyFont="1" applyFill="1" applyBorder="1" applyAlignment="1">
      <alignment vertical="center"/>
    </xf>
    <xf numFmtId="43" fontId="4" fillId="4" borderId="5" xfId="1" applyFont="1" applyFill="1" applyBorder="1" applyAlignment="1">
      <alignment vertical="center"/>
    </xf>
    <xf numFmtId="43" fontId="0" fillId="2" borderId="7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vertical="center"/>
    </xf>
    <xf numFmtId="43" fontId="6" fillId="11" borderId="6" xfId="1" applyNumberFormat="1" applyFont="1" applyFill="1" applyBorder="1" applyAlignment="1">
      <alignment vertical="center"/>
    </xf>
    <xf numFmtId="43" fontId="0" fillId="2" borderId="6" xfId="1" applyFont="1" applyFill="1" applyBorder="1" applyAlignment="1">
      <alignment horizontal="center" vertical="center"/>
    </xf>
    <xf numFmtId="43" fontId="6" fillId="12" borderId="76" xfId="1" applyNumberFormat="1" applyFont="1" applyFill="1" applyBorder="1" applyAlignment="1">
      <alignment vertical="center"/>
    </xf>
    <xf numFmtId="43" fontId="2" fillId="4" borderId="77" xfId="1" applyNumberFormat="1" applyFont="1" applyFill="1" applyBorder="1" applyAlignment="1">
      <alignment vertical="center"/>
    </xf>
    <xf numFmtId="43" fontId="4" fillId="9" borderId="75" xfId="1" applyNumberFormat="1" applyFont="1" applyFill="1" applyBorder="1" applyAlignment="1" applyProtection="1">
      <alignment horizontal="center" vertical="center"/>
      <protection locked="0"/>
    </xf>
    <xf numFmtId="43" fontId="4" fillId="9" borderId="6" xfId="1" applyNumberFormat="1" applyFont="1" applyFill="1" applyBorder="1" applyAlignment="1" applyProtection="1">
      <alignment horizontal="center" vertical="center"/>
      <protection locked="0"/>
    </xf>
    <xf numFmtId="43" fontId="4" fillId="9" borderId="5" xfId="1" applyNumberFormat="1" applyFont="1" applyFill="1" applyBorder="1" applyAlignment="1" applyProtection="1">
      <alignment horizontal="center" vertical="center"/>
      <protection locked="0"/>
    </xf>
    <xf numFmtId="43" fontId="0" fillId="2" borderId="81" xfId="1" applyFont="1" applyFill="1" applyBorder="1" applyAlignment="1">
      <alignment horizontal="center" vertical="center"/>
    </xf>
    <xf numFmtId="43" fontId="2" fillId="2" borderId="79" xfId="1" applyFont="1" applyFill="1" applyBorder="1" applyAlignment="1">
      <alignment vertical="center"/>
    </xf>
    <xf numFmtId="43" fontId="6" fillId="11" borderId="79" xfId="1" applyNumberFormat="1" applyFont="1" applyFill="1" applyBorder="1" applyAlignment="1">
      <alignment vertical="center"/>
    </xf>
    <xf numFmtId="43" fontId="0" fillId="2" borderId="79" xfId="1" applyFont="1" applyFill="1" applyBorder="1" applyAlignment="1">
      <alignment horizontal="center" vertical="center"/>
    </xf>
    <xf numFmtId="43" fontId="6" fillId="12" borderId="82" xfId="1" applyNumberFormat="1" applyFont="1" applyFill="1" applyBorder="1" applyAlignment="1">
      <alignment vertical="center"/>
    </xf>
    <xf numFmtId="43" fontId="2" fillId="4" borderId="83" xfId="1" applyNumberFormat="1" applyFont="1" applyFill="1" applyBorder="1" applyAlignment="1">
      <alignment vertical="center"/>
    </xf>
    <xf numFmtId="43" fontId="4" fillId="9" borderId="81" xfId="1" applyNumberFormat="1" applyFont="1" applyFill="1" applyBorder="1" applyAlignment="1" applyProtection="1">
      <alignment horizontal="center" vertical="center"/>
      <protection locked="0"/>
    </xf>
    <xf numFmtId="43" fontId="4" fillId="9" borderId="79" xfId="1" applyNumberFormat="1" applyFont="1" applyFill="1" applyBorder="1" applyAlignment="1" applyProtection="1">
      <alignment horizontal="center" vertical="center"/>
      <protection locked="0"/>
    </xf>
    <xf numFmtId="43" fontId="4" fillId="9" borderId="80" xfId="1" applyNumberFormat="1" applyFont="1" applyFill="1" applyBorder="1" applyAlignment="1" applyProtection="1">
      <alignment horizontal="center" vertical="center"/>
      <protection locked="0"/>
    </xf>
    <xf numFmtId="0" fontId="0" fillId="2" borderId="63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52" xfId="0" applyFont="1" applyFill="1" applyBorder="1" applyAlignment="1">
      <alignment vertical="center" wrapText="1"/>
    </xf>
    <xf numFmtId="43" fontId="2" fillId="2" borderId="70" xfId="1" applyFont="1" applyFill="1" applyBorder="1" applyAlignment="1">
      <alignment horizontal="center" vertical="center"/>
    </xf>
    <xf numFmtId="43" fontId="7" fillId="2" borderId="64" xfId="1" applyFont="1" applyFill="1" applyBorder="1" applyAlignment="1">
      <alignment horizontal="center" vertical="center"/>
    </xf>
    <xf numFmtId="43" fontId="7" fillId="2" borderId="6" xfId="1" applyFont="1" applyFill="1" applyBorder="1" applyAlignment="1">
      <alignment horizontal="center" vertical="center"/>
    </xf>
    <xf numFmtId="43" fontId="2" fillId="5" borderId="79" xfId="1" applyFont="1" applyFill="1" applyBorder="1" applyAlignment="1">
      <alignment vertical="center"/>
    </xf>
    <xf numFmtId="43" fontId="4" fillId="4" borderId="80" xfId="1" applyFont="1" applyFill="1" applyBorder="1" applyAlignment="1">
      <alignment vertical="center"/>
    </xf>
    <xf numFmtId="0" fontId="0" fillId="2" borderId="63" xfId="0" applyFont="1" applyFill="1" applyBorder="1" applyAlignment="1">
      <alignment vertical="center" wrapText="1"/>
    </xf>
    <xf numFmtId="43" fontId="2" fillId="2" borderId="64" xfId="1" applyFont="1" applyFill="1" applyBorder="1" applyAlignment="1">
      <alignment horizontal="center" vertical="center"/>
    </xf>
    <xf numFmtId="0" fontId="0" fillId="2" borderId="69" xfId="0" applyFont="1" applyFill="1" applyBorder="1" applyAlignment="1">
      <alignment vertical="center" wrapText="1"/>
    </xf>
    <xf numFmtId="43" fontId="2" fillId="2" borderId="55" xfId="1" applyFont="1" applyFill="1" applyBorder="1" applyAlignment="1">
      <alignment horizontal="center" vertical="center"/>
    </xf>
    <xf numFmtId="43" fontId="2" fillId="2" borderId="53" xfId="1" applyFont="1" applyFill="1" applyBorder="1" applyAlignment="1">
      <alignment horizontal="center" vertical="center"/>
    </xf>
    <xf numFmtId="43" fontId="2" fillId="5" borderId="7" xfId="1" applyFont="1" applyFill="1" applyBorder="1" applyAlignment="1">
      <alignment horizontal="center" vertical="center"/>
    </xf>
    <xf numFmtId="43" fontId="4" fillId="4" borderId="17" xfId="1" applyFont="1" applyFill="1" applyBorder="1" applyAlignment="1">
      <alignment horizontal="center" vertical="center"/>
    </xf>
    <xf numFmtId="43" fontId="2" fillId="2" borderId="88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vertical="center"/>
    </xf>
    <xf numFmtId="43" fontId="6" fillId="11" borderId="7" xfId="1" applyNumberFormat="1" applyFont="1" applyFill="1" applyBorder="1" applyAlignment="1">
      <alignment vertical="center"/>
    </xf>
    <xf numFmtId="43" fontId="2" fillId="2" borderId="7" xfId="1" applyFont="1" applyFill="1" applyBorder="1" applyAlignment="1">
      <alignment horizontal="center" vertical="center"/>
    </xf>
    <xf numFmtId="43" fontId="6" fillId="12" borderId="28" xfId="1" applyNumberFormat="1" applyFont="1" applyFill="1" applyBorder="1" applyAlignment="1">
      <alignment vertical="center"/>
    </xf>
    <xf numFmtId="43" fontId="2" fillId="4" borderId="74" xfId="1" applyNumberFormat="1" applyFont="1" applyFill="1" applyBorder="1" applyAlignment="1">
      <alignment vertical="center"/>
    </xf>
    <xf numFmtId="43" fontId="4" fillId="9" borderId="88" xfId="1" applyNumberFormat="1" applyFont="1" applyFill="1" applyBorder="1" applyAlignment="1" applyProtection="1">
      <alignment horizontal="center" vertical="center"/>
      <protection locked="0"/>
    </xf>
    <xf numFmtId="43" fontId="4" fillId="9" borderId="7" xfId="1" applyNumberFormat="1" applyFont="1" applyFill="1" applyBorder="1" applyAlignment="1" applyProtection="1">
      <alignment horizontal="center" vertical="center"/>
      <protection locked="0"/>
    </xf>
    <xf numFmtId="43" fontId="4" fillId="9" borderId="17" xfId="1" applyNumberFormat="1" applyFont="1" applyFill="1" applyBorder="1" applyAlignment="1" applyProtection="1">
      <alignment horizontal="center" vertical="center"/>
      <protection locked="0"/>
    </xf>
    <xf numFmtId="43" fontId="2" fillId="5" borderId="7" xfId="1" applyFont="1" applyFill="1" applyBorder="1" applyAlignment="1">
      <alignment horizontal="left" vertical="center"/>
    </xf>
    <xf numFmtId="0" fontId="0" fillId="2" borderId="78" xfId="0" applyFont="1" applyFill="1" applyBorder="1" applyAlignment="1">
      <alignment horizontal="left" vertical="center" wrapText="1"/>
    </xf>
    <xf numFmtId="2" fontId="14" fillId="2" borderId="7" xfId="0" applyNumberFormat="1" applyFont="1" applyFill="1" applyBorder="1" applyAlignment="1">
      <alignment horizontal="center" vertical="center"/>
    </xf>
    <xf numFmtId="43" fontId="2" fillId="5" borderId="6" xfId="1" applyFont="1" applyFill="1" applyBorder="1" applyAlignment="1">
      <alignment horizontal="center" vertical="center"/>
    </xf>
    <xf numFmtId="43" fontId="4" fillId="4" borderId="5" xfId="1" applyFont="1" applyFill="1" applyBorder="1" applyAlignment="1">
      <alignment horizontal="center" vertical="center"/>
    </xf>
    <xf numFmtId="0" fontId="11" fillId="0" borderId="89" xfId="0" applyFont="1" applyBorder="1" applyAlignment="1"/>
    <xf numFmtId="0" fontId="10" fillId="8" borderId="90" xfId="0" applyFont="1" applyFill="1" applyBorder="1" applyAlignment="1">
      <alignment vertical="center"/>
    </xf>
    <xf numFmtId="0" fontId="11" fillId="0" borderId="89" xfId="0" applyFont="1" applyBorder="1" applyAlignment="1">
      <alignment horizontal="center"/>
    </xf>
    <xf numFmtId="0" fontId="11" fillId="0" borderId="90" xfId="0" applyFont="1" applyBorder="1" applyAlignment="1"/>
    <xf numFmtId="0" fontId="11" fillId="0" borderId="92" xfId="0" applyFont="1" applyBorder="1" applyAlignment="1">
      <alignment horizontal="center"/>
    </xf>
    <xf numFmtId="0" fontId="15" fillId="8" borderId="93" xfId="0" applyFont="1" applyFill="1" applyBorder="1"/>
    <xf numFmtId="0" fontId="10" fillId="8" borderId="93" xfId="0" applyFont="1" applyFill="1" applyBorder="1" applyAlignment="1">
      <alignment vertical="center"/>
    </xf>
    <xf numFmtId="0" fontId="11" fillId="0" borderId="91" xfId="0" applyFont="1" applyBorder="1" applyAlignment="1">
      <alignment horizontal="center"/>
    </xf>
    <xf numFmtId="0" fontId="11" fillId="0" borderId="92" xfId="0" applyFont="1" applyBorder="1" applyAlignment="1"/>
    <xf numFmtId="0" fontId="18" fillId="0" borderId="93" xfId="0" applyFont="1" applyFill="1" applyBorder="1" applyAlignment="1">
      <alignment horizontal="left" vertical="center"/>
    </xf>
    <xf numFmtId="0" fontId="0" fillId="2" borderId="85" xfId="0" applyFont="1" applyFill="1" applyBorder="1" applyAlignment="1">
      <alignment horizontal="left" vertical="center" wrapText="1"/>
    </xf>
    <xf numFmtId="43" fontId="2" fillId="5" borderId="84" xfId="1" applyFont="1" applyFill="1" applyBorder="1" applyAlignment="1">
      <alignment horizontal="center" vertical="center"/>
    </xf>
    <xf numFmtId="43" fontId="4" fillId="4" borderId="86" xfId="1" applyFont="1" applyFill="1" applyBorder="1" applyAlignment="1">
      <alignment horizontal="center" vertical="center"/>
    </xf>
    <xf numFmtId="0" fontId="0" fillId="0" borderId="0" xfId="0" applyFont="1"/>
    <xf numFmtId="43" fontId="2" fillId="6" borderId="18" xfId="1" applyFont="1" applyFill="1" applyBorder="1" applyAlignment="1">
      <alignment horizontal="center" vertical="center"/>
    </xf>
    <xf numFmtId="43" fontId="0" fillId="6" borderId="18" xfId="1" applyFont="1" applyFill="1" applyBorder="1" applyAlignment="1">
      <alignment horizontal="center" vertical="center" wrapText="1"/>
    </xf>
    <xf numFmtId="43" fontId="2" fillId="6" borderId="18" xfId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top"/>
    </xf>
    <xf numFmtId="43" fontId="2" fillId="5" borderId="47" xfId="1" applyFont="1" applyFill="1" applyBorder="1" applyAlignment="1">
      <alignment horizontal="center" vertical="center"/>
    </xf>
    <xf numFmtId="43" fontId="4" fillId="4" borderId="48" xfId="1" applyFont="1" applyFill="1" applyBorder="1" applyAlignment="1">
      <alignment horizontal="center" vertical="center"/>
    </xf>
    <xf numFmtId="43" fontId="2" fillId="5" borderId="53" xfId="1" applyFont="1" applyFill="1" applyBorder="1" applyAlignment="1">
      <alignment vertical="center"/>
    </xf>
    <xf numFmtId="43" fontId="2" fillId="5" borderId="70" xfId="1" applyFont="1" applyFill="1" applyBorder="1" applyAlignment="1">
      <alignment vertical="center"/>
    </xf>
    <xf numFmtId="1" fontId="0" fillId="2" borderId="46" xfId="0" applyNumberFormat="1" applyFont="1" applyFill="1" applyBorder="1" applyAlignment="1">
      <alignment horizontal="left" vertical="center" wrapText="1"/>
    </xf>
    <xf numFmtId="0" fontId="0" fillId="2" borderId="69" xfId="0" applyFont="1" applyFill="1" applyBorder="1" applyAlignment="1">
      <alignment horizontal="left" vertical="center" wrapText="1"/>
    </xf>
    <xf numFmtId="43" fontId="4" fillId="4" borderId="71" xfId="1" applyFont="1" applyFill="1" applyBorder="1" applyAlignment="1">
      <alignment vertical="center"/>
    </xf>
    <xf numFmtId="43" fontId="2" fillId="5" borderId="79" xfId="1" applyFont="1" applyFill="1" applyBorder="1" applyAlignment="1">
      <alignment horizontal="center" vertical="center"/>
    </xf>
    <xf numFmtId="43" fontId="4" fillId="4" borderId="80" xfId="1" applyFont="1" applyFill="1" applyBorder="1" applyAlignment="1">
      <alignment horizontal="center" vertical="center"/>
    </xf>
    <xf numFmtId="43" fontId="2" fillId="2" borderId="79" xfId="1" applyFont="1" applyFill="1" applyBorder="1" applyAlignment="1">
      <alignment horizontal="center" vertical="center"/>
    </xf>
    <xf numFmtId="43" fontId="0" fillId="2" borderId="94" xfId="1" applyFont="1" applyFill="1" applyBorder="1" applyAlignment="1">
      <alignment horizontal="center" vertical="center"/>
    </xf>
    <xf numFmtId="43" fontId="2" fillId="2" borderId="95" xfId="1" applyFont="1" applyFill="1" applyBorder="1" applyAlignment="1">
      <alignment vertical="center"/>
    </xf>
    <xf numFmtId="43" fontId="6" fillId="11" borderId="95" xfId="1" applyNumberFormat="1" applyFont="1" applyFill="1" applyBorder="1" applyAlignment="1">
      <alignment vertical="center"/>
    </xf>
    <xf numFmtId="43" fontId="2" fillId="2" borderId="95" xfId="1" applyFont="1" applyFill="1" applyBorder="1" applyAlignment="1">
      <alignment horizontal="center" vertical="center"/>
    </xf>
    <xf numFmtId="43" fontId="6" fillId="12" borderId="96" xfId="1" applyNumberFormat="1" applyFont="1" applyFill="1" applyBorder="1" applyAlignment="1">
      <alignment vertical="center"/>
    </xf>
    <xf numFmtId="43" fontId="4" fillId="9" borderId="94" xfId="1" applyNumberFormat="1" applyFont="1" applyFill="1" applyBorder="1" applyAlignment="1" applyProtection="1">
      <alignment horizontal="center" vertical="center"/>
      <protection locked="0"/>
    </xf>
    <xf numFmtId="43" fontId="4" fillId="9" borderId="95" xfId="1" applyNumberFormat="1" applyFont="1" applyFill="1" applyBorder="1" applyAlignment="1" applyProtection="1">
      <alignment horizontal="center" vertical="center"/>
      <protection locked="0"/>
    </xf>
    <xf numFmtId="43" fontId="4" fillId="9" borderId="97" xfId="1" applyNumberFormat="1" applyFont="1" applyFill="1" applyBorder="1" applyAlignment="1" applyProtection="1">
      <alignment horizontal="center" vertical="center"/>
      <protection locked="0"/>
    </xf>
    <xf numFmtId="43" fontId="2" fillId="2" borderId="47" xfId="1" applyFont="1" applyFill="1" applyBorder="1" applyAlignment="1">
      <alignment horizontal="center" vertical="center"/>
    </xf>
    <xf numFmtId="43" fontId="2" fillId="4" borderId="51" xfId="1" applyNumberFormat="1" applyFont="1" applyFill="1" applyBorder="1" applyAlignment="1">
      <alignment horizontal="center" vertical="center"/>
    </xf>
    <xf numFmtId="43" fontId="5" fillId="10" borderId="79" xfId="1" applyFont="1" applyFill="1" applyBorder="1" applyAlignment="1">
      <alignment horizontal="center" vertical="center"/>
    </xf>
    <xf numFmtId="0" fontId="0" fillId="2" borderId="78" xfId="0" applyFont="1" applyFill="1" applyBorder="1" applyAlignment="1">
      <alignment vertical="center" wrapText="1"/>
    </xf>
    <xf numFmtId="0" fontId="0" fillId="2" borderId="46" xfId="0" applyFont="1" applyFill="1" applyBorder="1" applyAlignment="1">
      <alignment vertical="center" wrapText="1"/>
    </xf>
    <xf numFmtId="43" fontId="0" fillId="2" borderId="84" xfId="1" applyFont="1" applyFill="1" applyBorder="1" applyAlignment="1">
      <alignment horizontal="center" vertical="center"/>
    </xf>
    <xf numFmtId="43" fontId="2" fillId="2" borderId="84" xfId="1" applyFont="1" applyFill="1" applyBorder="1" applyAlignment="1">
      <alignment horizontal="center" vertical="center"/>
    </xf>
    <xf numFmtId="43" fontId="2" fillId="2" borderId="72" xfId="1" applyFont="1" applyFill="1" applyBorder="1" applyAlignment="1">
      <alignment horizontal="center" vertical="center"/>
    </xf>
    <xf numFmtId="43" fontId="2" fillId="2" borderId="99" xfId="1" applyFont="1" applyFill="1" applyBorder="1" applyAlignment="1">
      <alignment horizontal="center" vertical="center"/>
    </xf>
    <xf numFmtId="43" fontId="2" fillId="2" borderId="84" xfId="1" applyFont="1" applyFill="1" applyBorder="1" applyAlignment="1">
      <alignment vertical="center"/>
    </xf>
    <xf numFmtId="43" fontId="6" fillId="11" borderId="84" xfId="1" applyNumberFormat="1" applyFont="1" applyFill="1" applyBorder="1" applyAlignment="1">
      <alignment vertical="center"/>
    </xf>
    <xf numFmtId="43" fontId="6" fillId="12" borderId="100" xfId="1" applyNumberFormat="1" applyFont="1" applyFill="1" applyBorder="1" applyAlignment="1">
      <alignment vertical="center"/>
    </xf>
    <xf numFmtId="43" fontId="2" fillId="4" borderId="87" xfId="1" applyNumberFormat="1" applyFont="1" applyFill="1" applyBorder="1" applyAlignment="1">
      <alignment vertical="center"/>
    </xf>
    <xf numFmtId="43" fontId="4" fillId="9" borderId="99" xfId="1" applyNumberFormat="1" applyFont="1" applyFill="1" applyBorder="1" applyAlignment="1" applyProtection="1">
      <alignment horizontal="center" vertical="center"/>
      <protection locked="0"/>
    </xf>
    <xf numFmtId="43" fontId="4" fillId="9" borderId="84" xfId="1" applyNumberFormat="1" applyFont="1" applyFill="1" applyBorder="1" applyAlignment="1" applyProtection="1">
      <alignment horizontal="center" vertical="center"/>
      <protection locked="0"/>
    </xf>
    <xf numFmtId="43" fontId="4" fillId="9" borderId="86" xfId="1" applyNumberFormat="1" applyFont="1" applyFill="1" applyBorder="1" applyAlignment="1" applyProtection="1">
      <alignment horizontal="center" vertical="center"/>
      <protection locked="0"/>
    </xf>
    <xf numFmtId="43" fontId="2" fillId="2" borderId="50" xfId="1" applyFont="1" applyFill="1" applyBorder="1" applyAlignment="1">
      <alignment horizontal="center" vertical="center"/>
    </xf>
    <xf numFmtId="2" fontId="4" fillId="6" borderId="102" xfId="0" applyNumberFormat="1" applyFont="1" applyFill="1" applyBorder="1" applyAlignment="1">
      <alignment horizontal="center" vertical="center"/>
    </xf>
    <xf numFmtId="0" fontId="3" fillId="6" borderId="103" xfId="0" applyFont="1" applyFill="1" applyBorder="1" applyAlignment="1">
      <alignment horizontal="center"/>
    </xf>
    <xf numFmtId="43" fontId="4" fillId="0" borderId="60" xfId="1" applyFont="1" applyBorder="1"/>
    <xf numFmtId="43" fontId="0" fillId="6" borderId="29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2" borderId="7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43" fontId="2" fillId="5" borderId="84" xfId="1" applyFont="1" applyFill="1" applyBorder="1" applyAlignment="1">
      <alignment horizontal="center" vertical="center"/>
    </xf>
    <xf numFmtId="43" fontId="2" fillId="5" borderId="79" xfId="1" applyFont="1" applyFill="1" applyBorder="1" applyAlignment="1">
      <alignment horizontal="center" vertical="center"/>
    </xf>
    <xf numFmtId="43" fontId="0" fillId="0" borderId="7" xfId="1" applyFont="1" applyFill="1" applyBorder="1"/>
    <xf numFmtId="43" fontId="0" fillId="0" borderId="28" xfId="1" applyFont="1" applyFill="1" applyBorder="1" applyAlignment="1">
      <alignment horizontal="center"/>
    </xf>
    <xf numFmtId="43" fontId="4" fillId="0" borderId="7" xfId="1" applyFont="1" applyFill="1" applyBorder="1"/>
    <xf numFmtId="43" fontId="0" fillId="0" borderId="17" xfId="0" applyNumberFormat="1" applyFill="1" applyBorder="1"/>
    <xf numFmtId="43" fontId="0" fillId="0" borderId="7" xfId="0" applyNumberFormat="1" applyFill="1" applyBorder="1"/>
    <xf numFmtId="43" fontId="0" fillId="0" borderId="17" xfId="1" applyFont="1" applyFill="1" applyBorder="1"/>
    <xf numFmtId="2" fontId="4" fillId="6" borderId="108" xfId="0" applyNumberFormat="1" applyFont="1" applyFill="1" applyBorder="1" applyAlignment="1">
      <alignment horizontal="center" vertical="center"/>
    </xf>
    <xf numFmtId="0" fontId="3" fillId="6" borderId="10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left" vertical="center" wrapText="1"/>
    </xf>
    <xf numFmtId="0" fontId="0" fillId="2" borderId="5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4" fillId="7" borderId="2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4" fillId="7" borderId="2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6" borderId="27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6" borderId="107" xfId="0" applyFont="1" applyFill="1" applyBorder="1" applyAlignment="1">
      <alignment horizontal="center" wrapText="1"/>
    </xf>
    <xf numFmtId="0" fontId="4" fillId="6" borderId="108" xfId="0" applyFont="1" applyFill="1" applyBorder="1" applyAlignment="1">
      <alignment horizontal="center" wrapText="1"/>
    </xf>
    <xf numFmtId="0" fontId="4" fillId="6" borderId="101" xfId="0" applyFont="1" applyFill="1" applyBorder="1" applyAlignment="1">
      <alignment horizontal="center" wrapText="1"/>
    </xf>
    <xf numFmtId="0" fontId="4" fillId="6" borderId="102" xfId="0" applyFont="1" applyFill="1" applyBorder="1" applyAlignment="1">
      <alignment horizontal="center" wrapText="1"/>
    </xf>
    <xf numFmtId="0" fontId="4" fillId="6" borderId="104" xfId="0" applyFont="1" applyFill="1" applyBorder="1" applyAlignment="1">
      <alignment horizontal="center" wrapText="1"/>
    </xf>
    <xf numFmtId="0" fontId="4" fillId="6" borderId="105" xfId="0" applyFont="1" applyFill="1" applyBorder="1" applyAlignment="1">
      <alignment horizontal="center" wrapText="1"/>
    </xf>
    <xf numFmtId="0" fontId="4" fillId="6" borderId="106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4" fillId="10" borderId="3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1" xfId="0" applyFont="1" applyFill="1" applyBorder="1" applyAlignment="1" applyProtection="1">
      <alignment horizontal="left" vertical="center"/>
      <protection locked="0"/>
    </xf>
    <xf numFmtId="0" fontId="4" fillId="10" borderId="32" xfId="0" applyFont="1" applyFill="1" applyBorder="1" applyAlignment="1" applyProtection="1">
      <alignment horizontal="left" vertical="center"/>
      <protection locked="0"/>
    </xf>
    <xf numFmtId="43" fontId="4" fillId="0" borderId="15" xfId="1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43" fontId="4" fillId="0" borderId="13" xfId="1" applyFont="1" applyBorder="1" applyAlignment="1">
      <alignment horizontal="center" vertical="center"/>
    </xf>
    <xf numFmtId="43" fontId="4" fillId="10" borderId="41" xfId="1" applyFont="1" applyFill="1" applyBorder="1" applyAlignment="1">
      <alignment horizontal="center" vertical="center" wrapText="1"/>
    </xf>
    <xf numFmtId="43" fontId="4" fillId="10" borderId="79" xfId="1" applyFont="1" applyFill="1" applyBorder="1" applyAlignment="1">
      <alignment horizontal="center" vertical="center" wrapText="1"/>
    </xf>
    <xf numFmtId="43" fontId="4" fillId="10" borderId="44" xfId="1" applyFont="1" applyFill="1" applyBorder="1" applyAlignment="1">
      <alignment horizontal="center" vertical="center" wrapText="1"/>
    </xf>
    <xf numFmtId="43" fontId="4" fillId="10" borderId="41" xfId="1" applyFont="1" applyFill="1" applyBorder="1" applyAlignment="1">
      <alignment horizontal="center" vertical="center"/>
    </xf>
    <xf numFmtId="43" fontId="4" fillId="10" borderId="79" xfId="1" applyFont="1" applyFill="1" applyBorder="1" applyAlignment="1">
      <alignment horizontal="center" vertical="center"/>
    </xf>
    <xf numFmtId="43" fontId="4" fillId="10" borderId="44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 vertical="center"/>
    </xf>
    <xf numFmtId="0" fontId="4" fillId="10" borderId="78" xfId="0" applyFont="1" applyFill="1" applyBorder="1" applyAlignment="1">
      <alignment horizontal="center" vertical="center"/>
    </xf>
    <xf numFmtId="0" fontId="4" fillId="10" borderId="43" xfId="0" applyFont="1" applyFill="1" applyBorder="1" applyAlignment="1">
      <alignment horizontal="center" vertical="center"/>
    </xf>
    <xf numFmtId="43" fontId="21" fillId="10" borderId="41" xfId="1" applyFont="1" applyFill="1" applyBorder="1" applyAlignment="1">
      <alignment horizontal="center" vertical="center" wrapText="1"/>
    </xf>
    <xf numFmtId="43" fontId="21" fillId="10" borderId="79" xfId="1" applyFont="1" applyFill="1" applyBorder="1" applyAlignment="1">
      <alignment horizontal="center" vertical="center" wrapText="1"/>
    </xf>
    <xf numFmtId="43" fontId="21" fillId="10" borderId="44" xfId="1" applyFont="1" applyFill="1" applyBorder="1" applyAlignment="1">
      <alignment horizontal="center" vertical="center" wrapText="1"/>
    </xf>
    <xf numFmtId="0" fontId="0" fillId="2" borderId="85" xfId="0" applyFont="1" applyFill="1" applyBorder="1" applyAlignment="1">
      <alignment horizontal="left" vertical="center" wrapText="1"/>
    </xf>
    <xf numFmtId="0" fontId="0" fillId="2" borderId="78" xfId="0" applyFont="1" applyFill="1" applyBorder="1" applyAlignment="1">
      <alignment horizontal="left" vertical="center" wrapText="1"/>
    </xf>
    <xf numFmtId="43" fontId="2" fillId="5" borderId="84" xfId="1" applyFont="1" applyFill="1" applyBorder="1" applyAlignment="1">
      <alignment horizontal="center" vertical="center"/>
    </xf>
    <xf numFmtId="43" fontId="2" fillId="5" borderId="79" xfId="1" applyFont="1" applyFill="1" applyBorder="1" applyAlignment="1">
      <alignment horizontal="center" vertical="center"/>
    </xf>
    <xf numFmtId="43" fontId="4" fillId="4" borderId="86" xfId="1" applyFont="1" applyFill="1" applyBorder="1" applyAlignment="1">
      <alignment horizontal="center" vertical="center"/>
    </xf>
    <xf numFmtId="43" fontId="4" fillId="4" borderId="80" xfId="1" applyFont="1" applyFill="1" applyBorder="1" applyAlignment="1">
      <alignment horizontal="center" vertical="center"/>
    </xf>
    <xf numFmtId="0" fontId="4" fillId="10" borderId="37" xfId="0" applyFont="1" applyFill="1" applyBorder="1" applyAlignment="1" applyProtection="1">
      <alignment horizontal="left" vertical="center"/>
      <protection locked="0"/>
    </xf>
    <xf numFmtId="0" fontId="4" fillId="10" borderId="38" xfId="0" applyFont="1" applyFill="1" applyBorder="1" applyAlignment="1" applyProtection="1">
      <alignment horizontal="left" vertical="center"/>
      <protection locked="0"/>
    </xf>
    <xf numFmtId="0" fontId="4" fillId="10" borderId="34" xfId="0" applyFont="1" applyFill="1" applyBorder="1" applyAlignment="1" applyProtection="1">
      <alignment horizontal="left" vertical="center"/>
      <protection locked="0"/>
    </xf>
    <xf numFmtId="0" fontId="4" fillId="10" borderId="35" xfId="0" applyFont="1" applyFill="1" applyBorder="1" applyAlignment="1" applyProtection="1">
      <alignment horizontal="left" vertical="center"/>
      <protection locked="0"/>
    </xf>
    <xf numFmtId="43" fontId="8" fillId="10" borderId="42" xfId="1" applyFont="1" applyFill="1" applyBorder="1" applyAlignment="1" applyProtection="1">
      <alignment horizontal="center" vertical="center" wrapText="1"/>
      <protection locked="0"/>
    </xf>
    <xf numFmtId="43" fontId="8" fillId="10" borderId="80" xfId="1" applyFont="1" applyFill="1" applyBorder="1" applyAlignment="1" applyProtection="1">
      <alignment horizontal="center" vertical="center" wrapText="1"/>
      <protection locked="0"/>
    </xf>
    <xf numFmtId="43" fontId="8" fillId="10" borderId="45" xfId="1" applyFont="1" applyFill="1" applyBorder="1" applyAlignment="1" applyProtection="1">
      <alignment horizontal="center" vertical="center" wrapText="1"/>
      <protection locked="0"/>
    </xf>
    <xf numFmtId="43" fontId="8" fillId="10" borderId="41" xfId="1" applyFont="1" applyFill="1" applyBorder="1" applyAlignment="1" applyProtection="1">
      <alignment horizontal="center" vertical="center" wrapText="1"/>
      <protection locked="0"/>
    </xf>
    <xf numFmtId="43" fontId="8" fillId="10" borderId="79" xfId="1" applyFont="1" applyFill="1" applyBorder="1" applyAlignment="1" applyProtection="1">
      <alignment horizontal="center" vertical="center" wrapText="1"/>
      <protection locked="0"/>
    </xf>
    <xf numFmtId="43" fontId="8" fillId="10" borderId="44" xfId="1" applyFont="1" applyFill="1" applyBorder="1" applyAlignment="1" applyProtection="1">
      <alignment horizontal="center" vertical="center" wrapText="1"/>
      <protection locked="0"/>
    </xf>
    <xf numFmtId="43" fontId="5" fillId="10" borderId="41" xfId="1" applyFont="1" applyFill="1" applyBorder="1" applyAlignment="1">
      <alignment horizontal="center" vertical="center"/>
    </xf>
    <xf numFmtId="43" fontId="23" fillId="10" borderId="12" xfId="1" applyFont="1" applyFill="1" applyBorder="1" applyAlignment="1" applyProtection="1">
      <alignment horizontal="center" vertical="center" wrapText="1"/>
      <protection locked="0"/>
    </xf>
    <xf numFmtId="43" fontId="23" fillId="10" borderId="79" xfId="1" applyFont="1" applyFill="1" applyBorder="1" applyAlignment="1" applyProtection="1">
      <alignment horizontal="center" vertical="center" wrapText="1"/>
      <protection locked="0"/>
    </xf>
    <xf numFmtId="43" fontId="23" fillId="10" borderId="4" xfId="1" applyFont="1" applyFill="1" applyBorder="1" applyAlignment="1" applyProtection="1">
      <alignment horizontal="center" vertical="center" wrapText="1"/>
      <protection locked="0"/>
    </xf>
    <xf numFmtId="43" fontId="2" fillId="4" borderId="87" xfId="1" applyNumberFormat="1" applyFont="1" applyFill="1" applyBorder="1" applyAlignment="1">
      <alignment horizontal="center" vertical="center"/>
    </xf>
    <xf numFmtId="43" fontId="2" fillId="4" borderId="83" xfId="1" applyNumberFormat="1" applyFont="1" applyFill="1" applyBorder="1" applyAlignment="1">
      <alignment horizontal="center" vertical="center"/>
    </xf>
    <xf numFmtId="43" fontId="5" fillId="10" borderId="49" xfId="1" applyFont="1" applyFill="1" applyBorder="1" applyAlignment="1">
      <alignment horizontal="center" vertical="center"/>
    </xf>
    <xf numFmtId="43" fontId="5" fillId="10" borderId="98" xfId="1" applyFont="1" applyFill="1" applyBorder="1" applyAlignment="1">
      <alignment horizontal="center" vertical="center"/>
    </xf>
    <xf numFmtId="43" fontId="5" fillId="10" borderId="50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6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43" fontId="0" fillId="6" borderId="82" xfId="1" applyFont="1" applyFill="1" applyBorder="1" applyAlignment="1">
      <alignment horizontal="center" vertical="center" wrapText="1"/>
    </xf>
    <xf numFmtId="43" fontId="2" fillId="0" borderId="0" xfId="0" applyNumberFormat="1" applyFont="1"/>
    <xf numFmtId="43" fontId="0" fillId="6" borderId="82" xfId="1" applyFont="1" applyFill="1" applyBorder="1"/>
    <xf numFmtId="0" fontId="0" fillId="2" borderId="0" xfId="0" applyFont="1" applyFill="1" applyBorder="1" applyAlignment="1">
      <alignment horizontal="center" wrapText="1"/>
    </xf>
    <xf numFmtId="0" fontId="0" fillId="2" borderId="110" xfId="0" applyFont="1" applyFill="1" applyBorder="1" applyAlignment="1">
      <alignment horizontal="center" wrapText="1"/>
    </xf>
  </cellXfs>
  <cellStyles count="3">
    <cellStyle name="Normal" xfId="0" builtinId="0"/>
    <cellStyle name="Normal 2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0" cy="9525"/>
    <xdr:sp macro="" textlink="">
      <xdr:nvSp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4573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15</xdr:col>
      <xdr:colOff>539750</xdr:colOff>
      <xdr:row>0</xdr:row>
      <xdr:rowOff>165816</xdr:rowOff>
    </xdr:from>
    <xdr:to>
      <xdr:col>17</xdr:col>
      <xdr:colOff>143030</xdr:colOff>
      <xdr:row>6</xdr:row>
      <xdr:rowOff>73485</xdr:rowOff>
    </xdr:to>
    <xdr:pic>
      <xdr:nvPicPr>
        <xdr:cNvPr id="4" name="Imagem 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1875" y="165816"/>
          <a:ext cx="778030" cy="1050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88348</xdr:colOff>
      <xdr:row>0</xdr:row>
      <xdr:rowOff>174764</xdr:rowOff>
    </xdr:from>
    <xdr:ext cx="971550" cy="847724"/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261" y="174764"/>
          <a:ext cx="971550" cy="8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10</xdr:row>
      <xdr:rowOff>0</xdr:rowOff>
    </xdr:from>
    <xdr:ext cx="9525" cy="9525"/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133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0" cy="9525"/>
    <xdr:sp macro="" textlink="">
      <xdr:nvSp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133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9525" cy="9525"/>
    <xdr:sp macro="" textlink="">
      <xdr:nvSp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133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0" cy="9525"/>
    <xdr:sp macro="" textlink="">
      <xdr:nvSpPr>
        <xdr:cNvPr id="10" name="Pictur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4573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9525" cy="9525"/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133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0" cy="9525"/>
    <xdr:sp macro="" textlink="">
      <xdr:nvSpPr>
        <xdr:cNvPr id="12" name="Pictur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133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9525" cy="9525"/>
    <xdr:sp macro="" textlink="">
      <xdr:nvSp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133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0" cy="9525"/>
    <xdr:sp macro="" textlink="">
      <xdr:nvSp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2954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9525" cy="9525"/>
    <xdr:sp macro="" textlink="">
      <xdr:nvSp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9525" cy="9525"/>
    <xdr:sp macro="" textlink="">
      <xdr:nvSp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57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0" cy="9525"/>
    <xdr:sp macro="" textlink="">
      <xdr:nvSpPr>
        <xdr:cNvPr id="18" name="Pictur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4573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9525" cy="9525"/>
    <xdr:sp macro="" textlink="">
      <xdr:nvSpPr>
        <xdr:cNvPr id="19" name="Pictur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133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0" cy="9525"/>
    <xdr:sp macro="" textlink="">
      <xdr:nvSpPr>
        <xdr:cNvPr id="20" name="Pictur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133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9525" cy="9525"/>
    <xdr:sp macro="" textlink="">
      <xdr:nvSpPr>
        <xdr:cNvPr id="21" name="Pictur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133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10</xdr:row>
      <xdr:rowOff>0</xdr:rowOff>
    </xdr:from>
    <xdr:to>
      <xdr:col>3</xdr:col>
      <xdr:colOff>15240</xdr:colOff>
      <xdr:row>10</xdr:row>
      <xdr:rowOff>15240</xdr:rowOff>
    </xdr:to>
    <xdr:sp macro="" textlink="">
      <xdr:nvSpPr>
        <xdr:cNvPr id="22" name="Pictur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324225" y="169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0</xdr:colOff>
      <xdr:row>10</xdr:row>
      <xdr:rowOff>15240</xdr:rowOff>
    </xdr:to>
    <xdr:sp macro="" textlink="">
      <xdr:nvSpPr>
        <xdr:cNvPr id="23" name="Pictur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6954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15240</xdr:colOff>
      <xdr:row>9</xdr:row>
      <xdr:rowOff>15240</xdr:rowOff>
    </xdr:to>
    <xdr:sp macro="" textlink="">
      <xdr:nvSpPr>
        <xdr:cNvPr id="24" name="Pictur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324225" y="1333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0</xdr:colOff>
      <xdr:row>9</xdr:row>
      <xdr:rowOff>15240</xdr:rowOff>
    </xdr:to>
    <xdr:sp macro="" textlink="">
      <xdr:nvSpPr>
        <xdr:cNvPr id="25" name="Pictur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333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26" name="Pictur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333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27" name="Pictur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333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28" name="Pictur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29" name="Pictur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15240</xdr:colOff>
      <xdr:row>9</xdr:row>
      <xdr:rowOff>15240</xdr:rowOff>
    </xdr:to>
    <xdr:sp macro="" textlink="">
      <xdr:nvSpPr>
        <xdr:cNvPr id="30" name="Pictur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9051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0</xdr:colOff>
      <xdr:row>9</xdr:row>
      <xdr:rowOff>15240</xdr:rowOff>
    </xdr:to>
    <xdr:sp macro="" textlink="">
      <xdr:nvSpPr>
        <xdr:cNvPr id="31" name="Picture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32" name="Pictur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33" name="Pictur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34" name="Pictur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35" name="Pictur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61704</xdr:rowOff>
    </xdr:from>
    <xdr:to>
      <xdr:col>5</xdr:col>
      <xdr:colOff>701959</xdr:colOff>
      <xdr:row>4</xdr:row>
      <xdr:rowOff>78270</xdr:rowOff>
    </xdr:to>
    <xdr:pic>
      <xdr:nvPicPr>
        <xdr:cNvPr id="2" name="Imagem 2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61704"/>
          <a:ext cx="625759" cy="664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146678</xdr:colOff>
      <xdr:row>0</xdr:row>
      <xdr:rowOff>18638</xdr:rowOff>
    </xdr:from>
    <xdr:ext cx="779318" cy="691182"/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78" y="18638"/>
          <a:ext cx="779318" cy="69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10</xdr:row>
      <xdr:rowOff>9525</xdr:rowOff>
    </xdr:to>
    <xdr:sp macro="" textlink="">
      <xdr:nvSp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1990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0</xdr:colOff>
      <xdr:row>10</xdr:row>
      <xdr:rowOff>9525</xdr:rowOff>
    </xdr:to>
    <xdr:sp macro="" textlink="">
      <xdr:nvSp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19907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7" name="Pictur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16287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8" name="Pictur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9" name="Pictur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0</xdr:colOff>
      <xdr:row>9</xdr:row>
      <xdr:rowOff>9525</xdr:rowOff>
    </xdr:to>
    <xdr:sp macro="" textlink="">
      <xdr:nvSpPr>
        <xdr:cNvPr id="10" name="Pictur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009900" y="16287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009900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12" name="Pictur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13" name="Picture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14" name="Pictur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15" name="Picture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16" name="Picture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9051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17" name="Pictur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18" name="Picture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19" name="Picture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20" name="Picture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21" name="Pictur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22" name="Picture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9051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23" name="Picture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24" name="Picture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25" name="Picture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26" name="Picture 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27" name="Picture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28" name="Picture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5528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29" name="Picture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30" name="Picture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31" name="Picture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32" name="Picture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33" name="Picture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34" name="Picture 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5528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35" name="Picture 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36" name="Picture 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37" name="Picture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38" name="Picture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39" name="Picture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161926</xdr:colOff>
      <xdr:row>0</xdr:row>
      <xdr:rowOff>66676</xdr:rowOff>
    </xdr:from>
    <xdr:to>
      <xdr:col>0</xdr:col>
      <xdr:colOff>993914</xdr:colOff>
      <xdr:row>5</xdr:row>
      <xdr:rowOff>2912</xdr:rowOff>
    </xdr:to>
    <xdr:pic>
      <xdr:nvPicPr>
        <xdr:cNvPr id="40" name="Imagem 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66676"/>
          <a:ext cx="831988" cy="764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Y274"/>
  <sheetViews>
    <sheetView showGridLines="0" tabSelected="1" view="pageBreakPreview" topLeftCell="B10" zoomScale="90" zoomScaleNormal="100" zoomScaleSheetLayoutView="90" workbookViewId="0">
      <selection activeCell="K39" sqref="K39"/>
    </sheetView>
  </sheetViews>
  <sheetFormatPr defaultColWidth="9.109375" defaultRowHeight="13.2" zeroHeight="1" x14ac:dyDescent="0.25"/>
  <cols>
    <col min="1" max="1" width="9.109375" customWidth="1"/>
    <col min="2" max="2" width="35.44140625" customWidth="1"/>
    <col min="3" max="3" width="8.6640625" customWidth="1"/>
    <col min="4" max="4" width="10.88671875" customWidth="1"/>
    <col min="5" max="5" width="8.6640625" customWidth="1"/>
    <col min="6" max="6" width="10.6640625" customWidth="1"/>
    <col min="7" max="7" width="13.6640625" customWidth="1"/>
    <col min="8" max="8" width="9.88671875" customWidth="1"/>
    <col min="9" max="10" width="8.6640625" customWidth="1"/>
    <col min="11" max="11" width="16.6640625" customWidth="1"/>
    <col min="12" max="12" width="8.6640625" customWidth="1"/>
    <col min="13" max="14" width="9.6640625" customWidth="1"/>
    <col min="15" max="19" width="8.6640625" customWidth="1"/>
    <col min="20" max="20" width="10.109375" customWidth="1"/>
    <col min="21" max="21" width="9.109375" customWidth="1"/>
    <col min="22" max="22" width="12.44140625" customWidth="1"/>
    <col min="23" max="24" width="9.109375" customWidth="1"/>
    <col min="25" max="25" width="16.109375" customWidth="1"/>
  </cols>
  <sheetData>
    <row r="1" spans="1:19" ht="14.4" x14ac:dyDescent="0.3">
      <c r="A1" s="41"/>
      <c r="B1" s="277" t="s">
        <v>37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</row>
    <row r="2" spans="1:19" ht="14.4" x14ac:dyDescent="0.3">
      <c r="A2" s="41"/>
      <c r="B2" s="277" t="s">
        <v>101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</row>
    <row r="3" spans="1:19" ht="14.4" x14ac:dyDescent="0.3">
      <c r="A3" s="41"/>
      <c r="B3" s="277" t="s">
        <v>104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</row>
    <row r="4" spans="1:19" ht="14.4" x14ac:dyDescent="0.3">
      <c r="A4" s="41"/>
      <c r="B4" s="277" t="s">
        <v>103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</row>
    <row r="5" spans="1:19" ht="14.4" x14ac:dyDescent="0.3">
      <c r="A5" s="41"/>
      <c r="B5" s="277" t="s">
        <v>109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</row>
    <row r="6" spans="1:19" ht="14.4" x14ac:dyDescent="0.3">
      <c r="A6" s="41"/>
      <c r="B6" s="277" t="s">
        <v>108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</row>
    <row r="7" spans="1:19" ht="14.4" x14ac:dyDescent="0.3">
      <c r="A7" s="41"/>
      <c r="B7" s="42"/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53"/>
      <c r="O7" s="53"/>
      <c r="P7" s="53"/>
      <c r="Q7" s="53"/>
      <c r="R7" s="53"/>
    </row>
    <row r="8" spans="1:19" ht="14.4" x14ac:dyDescent="0.3">
      <c r="A8" s="41"/>
      <c r="B8" s="47"/>
      <c r="C8" s="44"/>
      <c r="D8" s="44"/>
      <c r="E8" s="44"/>
      <c r="F8" s="44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9" ht="14.4" x14ac:dyDescent="0.3">
      <c r="A9" s="41"/>
      <c r="B9" s="63" t="s">
        <v>110</v>
      </c>
      <c r="C9" s="48"/>
      <c r="D9" s="48"/>
      <c r="E9" s="48"/>
      <c r="F9" s="4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9" ht="14.4" x14ac:dyDescent="0.3">
      <c r="A10" s="41"/>
      <c r="B10" s="260" t="s">
        <v>83</v>
      </c>
      <c r="C10" s="260"/>
      <c r="D10" s="260"/>
      <c r="E10" s="260"/>
      <c r="F10" s="260"/>
      <c r="G10" s="260"/>
      <c r="H10" s="26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9" ht="14.4" x14ac:dyDescent="0.3">
      <c r="A11" s="41"/>
      <c r="B11" s="260"/>
      <c r="C11" s="260"/>
      <c r="D11" s="260"/>
      <c r="E11" s="260"/>
      <c r="F11" s="26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9" ht="13.8" x14ac:dyDescent="0.25">
      <c r="B12" s="264" t="s">
        <v>53</v>
      </c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</row>
    <row r="13" spans="1:19" ht="13.8" x14ac:dyDescent="0.25">
      <c r="B13" s="264" t="s">
        <v>84</v>
      </c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</row>
    <row r="14" spans="1:19" ht="15" customHeight="1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67"/>
      <c r="N14" s="67"/>
      <c r="O14" s="67"/>
      <c r="P14" s="67"/>
      <c r="Q14" s="67"/>
      <c r="R14" s="67"/>
    </row>
    <row r="15" spans="1:19" ht="15" customHeight="1" x14ac:dyDescent="0.25">
      <c r="B15" s="259" t="s">
        <v>36</v>
      </c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11"/>
    </row>
    <row r="16" spans="1:19" ht="9.9" customHeight="1" thickBot="1" x14ac:dyDescent="0.3">
      <c r="S16" s="1"/>
    </row>
    <row r="17" spans="2:19" ht="15" customHeight="1" x14ac:dyDescent="0.25">
      <c r="B17" s="36" t="s">
        <v>35</v>
      </c>
      <c r="C17" s="29" t="s">
        <v>23</v>
      </c>
      <c r="D17" s="31" t="s">
        <v>33</v>
      </c>
      <c r="E17" s="29" t="s">
        <v>32</v>
      </c>
      <c r="F17" s="30" t="s">
        <v>31</v>
      </c>
      <c r="G17" s="29" t="s">
        <v>30</v>
      </c>
      <c r="H17" s="28" t="s">
        <v>29</v>
      </c>
      <c r="I17" s="331" t="s">
        <v>112</v>
      </c>
    </row>
    <row r="18" spans="2:19" ht="15" customHeight="1" x14ac:dyDescent="0.25">
      <c r="B18" s="19" t="s">
        <v>2</v>
      </c>
      <c r="C18" s="249">
        <v>8</v>
      </c>
      <c r="D18" s="249">
        <v>0.8</v>
      </c>
      <c r="E18" s="249">
        <v>2.1</v>
      </c>
      <c r="F18" s="250">
        <f>D18*E18</f>
        <v>1.6800000000000002</v>
      </c>
      <c r="G18" s="251">
        <f>C18*F18</f>
        <v>13.440000000000001</v>
      </c>
      <c r="H18" s="252">
        <f>(D18+$J$23)*C18</f>
        <v>8.8000000000000007</v>
      </c>
      <c r="I18" s="330">
        <f>(D18+$J$23)*1</f>
        <v>1.1000000000000001</v>
      </c>
      <c r="J18" s="38"/>
    </row>
    <row r="19" spans="2:19" ht="15" customHeight="1" x14ac:dyDescent="0.25">
      <c r="B19" s="46" t="s">
        <v>56</v>
      </c>
      <c r="C19" s="249">
        <v>4</v>
      </c>
      <c r="D19" s="249">
        <v>1</v>
      </c>
      <c r="E19" s="249">
        <v>2.1</v>
      </c>
      <c r="F19" s="250">
        <f>D19*E19</f>
        <v>2.1</v>
      </c>
      <c r="G19" s="251">
        <f>C19*F19</f>
        <v>8.4</v>
      </c>
      <c r="H19" s="252">
        <f>(D19+$J$23)*C19</f>
        <v>5.2</v>
      </c>
      <c r="I19" s="200"/>
      <c r="J19" s="38"/>
    </row>
    <row r="20" spans="2:19" ht="15" customHeight="1" x14ac:dyDescent="0.25">
      <c r="B20" s="46" t="s">
        <v>15</v>
      </c>
      <c r="C20" s="249">
        <v>15</v>
      </c>
      <c r="D20" s="249">
        <v>0.6</v>
      </c>
      <c r="E20" s="249">
        <v>1.6</v>
      </c>
      <c r="F20" s="250">
        <f t="shared" ref="F20:F21" si="0">D20*E20</f>
        <v>0.96</v>
      </c>
      <c r="G20" s="251">
        <f t="shared" ref="G20:G21" si="1">C20*F20</f>
        <v>14.399999999999999</v>
      </c>
      <c r="H20" s="252"/>
      <c r="I20" s="200"/>
      <c r="J20" s="38"/>
    </row>
    <row r="21" spans="2:19" ht="15" customHeight="1" thickBot="1" x14ac:dyDescent="0.3">
      <c r="B21" s="46" t="s">
        <v>18</v>
      </c>
      <c r="C21" s="249">
        <v>2</v>
      </c>
      <c r="D21" s="249">
        <v>1</v>
      </c>
      <c r="E21" s="249">
        <v>1.6</v>
      </c>
      <c r="F21" s="250">
        <f t="shared" si="0"/>
        <v>1.6</v>
      </c>
      <c r="G21" s="251">
        <f t="shared" si="1"/>
        <v>3.2</v>
      </c>
      <c r="H21" s="252"/>
      <c r="I21" s="200"/>
      <c r="J21" s="38"/>
    </row>
    <row r="22" spans="2:19" ht="15" customHeight="1" thickBot="1" x14ac:dyDescent="0.3">
      <c r="B22" s="326" t="s">
        <v>28</v>
      </c>
      <c r="C22" s="327"/>
      <c r="D22" s="327"/>
      <c r="E22" s="327"/>
      <c r="F22" s="328"/>
      <c r="G22" s="35">
        <f>SUM(G18:G21)</f>
        <v>39.440000000000005</v>
      </c>
      <c r="H22" s="242">
        <f>SUM(H18:H21)</f>
        <v>14</v>
      </c>
    </row>
    <row r="23" spans="2:19" ht="15" customHeight="1" thickBot="1" x14ac:dyDescent="0.3">
      <c r="B23" s="37"/>
      <c r="C23" s="5"/>
      <c r="D23" s="5"/>
      <c r="E23" s="5"/>
      <c r="F23" s="32"/>
      <c r="H23" s="324" t="s">
        <v>94</v>
      </c>
      <c r="I23" s="325"/>
      <c r="J23" s="244">
        <v>0.3</v>
      </c>
      <c r="S23" s="1"/>
    </row>
    <row r="24" spans="2:19" ht="43.5" customHeight="1" x14ac:dyDescent="0.25">
      <c r="B24" s="36" t="s">
        <v>34</v>
      </c>
      <c r="C24" s="203" t="s">
        <v>23</v>
      </c>
      <c r="D24" s="202" t="s">
        <v>86</v>
      </c>
      <c r="E24" s="202" t="s">
        <v>87</v>
      </c>
      <c r="F24" s="202" t="s">
        <v>88</v>
      </c>
      <c r="G24" s="202" t="s">
        <v>89</v>
      </c>
      <c r="H24" s="202" t="s">
        <v>85</v>
      </c>
      <c r="I24" s="201" t="s">
        <v>29</v>
      </c>
      <c r="J24" s="202" t="s">
        <v>90</v>
      </c>
      <c r="K24" s="243" t="s">
        <v>100</v>
      </c>
      <c r="L24" s="329"/>
      <c r="S24" s="1"/>
    </row>
    <row r="25" spans="2:19" ht="15" customHeight="1" x14ac:dyDescent="0.25">
      <c r="B25" s="19" t="s">
        <v>3</v>
      </c>
      <c r="C25" s="249">
        <v>3</v>
      </c>
      <c r="D25" s="249">
        <v>1.2</v>
      </c>
      <c r="E25" s="249">
        <v>0.7</v>
      </c>
      <c r="F25" s="250">
        <f t="shared" ref="F25:F32" si="2">D25*E25</f>
        <v>0.84</v>
      </c>
      <c r="G25" s="249">
        <f t="shared" ref="G25:G32" si="3">C25*F25</f>
        <v>2.52</v>
      </c>
      <c r="H25" s="253">
        <f>(D25+0.1)*C25</f>
        <v>3.9000000000000004</v>
      </c>
      <c r="I25" s="249"/>
      <c r="J25" s="249">
        <f>(D25+$J$23)*C25</f>
        <v>4.5</v>
      </c>
      <c r="K25" s="254">
        <f>2*D25</f>
        <v>2.4</v>
      </c>
      <c r="L25" s="200"/>
      <c r="S25" s="1"/>
    </row>
    <row r="26" spans="2:19" ht="15" customHeight="1" x14ac:dyDescent="0.25">
      <c r="B26" s="46" t="s">
        <v>71</v>
      </c>
      <c r="C26" s="249">
        <v>5</v>
      </c>
      <c r="D26" s="249">
        <v>1.2</v>
      </c>
      <c r="E26" s="249">
        <v>0.7</v>
      </c>
      <c r="F26" s="250">
        <f t="shared" si="2"/>
        <v>0.84</v>
      </c>
      <c r="G26" s="249">
        <f t="shared" si="3"/>
        <v>4.2</v>
      </c>
      <c r="H26" s="253">
        <f t="shared" ref="H26:H31" si="4">(D26+0.1)*C26</f>
        <v>6.5</v>
      </c>
      <c r="I26" s="249"/>
      <c r="J26" s="249">
        <f>(D26+$J$23)*C26</f>
        <v>7.5</v>
      </c>
      <c r="K26" s="254">
        <f>2*D26</f>
        <v>2.4</v>
      </c>
      <c r="S26" s="1"/>
    </row>
    <row r="27" spans="2:19" ht="15" customHeight="1" x14ac:dyDescent="0.25">
      <c r="B27" s="46" t="s">
        <v>4</v>
      </c>
      <c r="C27" s="249">
        <v>2</v>
      </c>
      <c r="D27" s="249">
        <v>1</v>
      </c>
      <c r="E27" s="249">
        <v>2.1</v>
      </c>
      <c r="F27" s="250">
        <f t="shared" si="2"/>
        <v>2.1</v>
      </c>
      <c r="G27" s="249">
        <f t="shared" si="3"/>
        <v>4.2</v>
      </c>
      <c r="H27" s="253">
        <f t="shared" si="4"/>
        <v>2.2000000000000002</v>
      </c>
      <c r="I27" s="249"/>
      <c r="J27" s="249">
        <f>(D27+$J$23)*C27</f>
        <v>2.6</v>
      </c>
      <c r="K27" s="254"/>
      <c r="S27" s="1"/>
    </row>
    <row r="28" spans="2:19" ht="15" customHeight="1" x14ac:dyDescent="0.25">
      <c r="B28" s="46" t="s">
        <v>57</v>
      </c>
      <c r="C28" s="249">
        <v>2</v>
      </c>
      <c r="D28" s="249">
        <v>1</v>
      </c>
      <c r="E28" s="249">
        <v>1</v>
      </c>
      <c r="F28" s="250">
        <f t="shared" si="2"/>
        <v>1</v>
      </c>
      <c r="G28" s="249">
        <f t="shared" si="3"/>
        <v>2</v>
      </c>
      <c r="H28" s="253"/>
      <c r="I28" s="249">
        <f>(D28+$J$23)*C28</f>
        <v>2.6</v>
      </c>
      <c r="J28" s="249">
        <f>(D28+$J$23)*C28</f>
        <v>2.6</v>
      </c>
      <c r="K28" s="254"/>
      <c r="S28" s="1"/>
    </row>
    <row r="29" spans="2:19" ht="15" customHeight="1" x14ac:dyDescent="0.25">
      <c r="B29" s="46" t="s">
        <v>17</v>
      </c>
      <c r="C29" s="249">
        <v>1</v>
      </c>
      <c r="D29" s="249">
        <v>1.5</v>
      </c>
      <c r="E29" s="249">
        <v>0.7</v>
      </c>
      <c r="F29" s="250">
        <f t="shared" si="2"/>
        <v>1.0499999999999998</v>
      </c>
      <c r="G29" s="249">
        <f t="shared" si="3"/>
        <v>1.0499999999999998</v>
      </c>
      <c r="H29" s="253">
        <f t="shared" si="4"/>
        <v>1.6</v>
      </c>
      <c r="I29" s="249"/>
      <c r="J29" s="249">
        <f t="shared" ref="J29:J31" si="5">(D29+$J$23)*C29</f>
        <v>1.8</v>
      </c>
      <c r="K29" s="254">
        <f>C29*D29</f>
        <v>1.5</v>
      </c>
      <c r="S29" s="1"/>
    </row>
    <row r="30" spans="2:19" ht="15" customHeight="1" x14ac:dyDescent="0.25">
      <c r="B30" s="46" t="s">
        <v>19</v>
      </c>
      <c r="C30" s="249">
        <v>1</v>
      </c>
      <c r="D30" s="249">
        <v>3</v>
      </c>
      <c r="E30" s="249">
        <v>0.7</v>
      </c>
      <c r="F30" s="250">
        <f t="shared" si="2"/>
        <v>2.0999999999999996</v>
      </c>
      <c r="G30" s="249">
        <f t="shared" si="3"/>
        <v>2.0999999999999996</v>
      </c>
      <c r="H30" s="253">
        <f t="shared" si="4"/>
        <v>3.1</v>
      </c>
      <c r="I30" s="249"/>
      <c r="J30" s="249">
        <f t="shared" si="5"/>
        <v>3.3</v>
      </c>
      <c r="K30" s="254">
        <f t="shared" ref="K30" si="6">C30*D30</f>
        <v>3</v>
      </c>
      <c r="S30" s="1"/>
    </row>
    <row r="31" spans="2:19" ht="15" customHeight="1" x14ac:dyDescent="0.25">
      <c r="B31" s="46" t="s">
        <v>16</v>
      </c>
      <c r="C31" s="249">
        <v>1</v>
      </c>
      <c r="D31" s="249">
        <v>2.8</v>
      </c>
      <c r="E31" s="249">
        <v>0.7</v>
      </c>
      <c r="F31" s="250">
        <f t="shared" si="2"/>
        <v>1.9599999999999997</v>
      </c>
      <c r="G31" s="249">
        <f t="shared" si="3"/>
        <v>1.9599999999999997</v>
      </c>
      <c r="H31" s="253">
        <f t="shared" si="4"/>
        <v>2.9</v>
      </c>
      <c r="I31" s="249"/>
      <c r="J31" s="249">
        <f t="shared" si="5"/>
        <v>3.0999999999999996</v>
      </c>
      <c r="K31" s="254"/>
      <c r="S31" s="1"/>
    </row>
    <row r="32" spans="2:19" ht="15" customHeight="1" thickBot="1" x14ac:dyDescent="0.3">
      <c r="B32" s="46"/>
      <c r="C32" s="18"/>
      <c r="D32" s="18"/>
      <c r="E32" s="18"/>
      <c r="F32" s="27">
        <f t="shared" si="2"/>
        <v>0</v>
      </c>
      <c r="G32" s="18">
        <f t="shared" si="3"/>
        <v>0</v>
      </c>
      <c r="H32" s="21">
        <f t="shared" ref="H32" si="7">D32*C32</f>
        <v>0</v>
      </c>
      <c r="I32" s="18">
        <f t="shared" ref="I32" si="8">(D32+0.6)*C32</f>
        <v>0</v>
      </c>
      <c r="J32" s="18">
        <f t="shared" ref="J32" si="9">(D32+0.6)*C32</f>
        <v>0</v>
      </c>
      <c r="K32" s="17"/>
      <c r="S32" s="1"/>
    </row>
    <row r="33" spans="2:20" ht="15" customHeight="1" thickBot="1" x14ac:dyDescent="0.3">
      <c r="B33" s="326" t="s">
        <v>1</v>
      </c>
      <c r="C33" s="327"/>
      <c r="D33" s="327"/>
      <c r="E33" s="327"/>
      <c r="F33" s="328"/>
      <c r="G33" s="35">
        <f>SUM(G25:G32)</f>
        <v>18.03</v>
      </c>
      <c r="H33" s="35">
        <f>SUM(H25:H32)</f>
        <v>20.2</v>
      </c>
      <c r="I33" s="35">
        <f>SUM(I25:I32)</f>
        <v>2.6</v>
      </c>
      <c r="J33" s="34">
        <f>SUM(J25:J32)</f>
        <v>25.4</v>
      </c>
      <c r="K33" s="33">
        <f>SUM(K25:K32)</f>
        <v>9.3000000000000007</v>
      </c>
      <c r="S33" s="1"/>
    </row>
    <row r="34" spans="2:20" ht="5.0999999999999996" customHeight="1" thickBot="1" x14ac:dyDescent="0.3">
      <c r="S34" s="1"/>
    </row>
    <row r="35" spans="2:20" ht="15" customHeight="1" thickBot="1" x14ac:dyDescent="0.3">
      <c r="B35" s="265" t="s">
        <v>27</v>
      </c>
      <c r="C35" s="266"/>
      <c r="D35" s="267"/>
      <c r="E35" s="26">
        <f>H33</f>
        <v>20.2</v>
      </c>
      <c r="F35" s="25" t="s">
        <v>26</v>
      </c>
      <c r="S35" s="1"/>
    </row>
    <row r="36" spans="2:20" ht="31.5" customHeight="1" thickTop="1" thickBot="1" x14ac:dyDescent="0.3">
      <c r="B36" s="272" t="s">
        <v>95</v>
      </c>
      <c r="C36" s="273"/>
      <c r="D36" s="273"/>
      <c r="E36" s="240">
        <f>SUMIF(D25:D31,"&lt;=1,5",J25:J31)</f>
        <v>19</v>
      </c>
      <c r="F36" s="241" t="s">
        <v>26</v>
      </c>
      <c r="S36" s="1"/>
    </row>
    <row r="37" spans="2:20" ht="31.5" customHeight="1" thickTop="1" thickBot="1" x14ac:dyDescent="0.3">
      <c r="B37" s="272" t="s">
        <v>96</v>
      </c>
      <c r="C37" s="273"/>
      <c r="D37" s="273"/>
      <c r="E37" s="240">
        <f>SUMIF(D25:D31,"&gt;1,5",J25:J31)</f>
        <v>6.3999999999999995</v>
      </c>
      <c r="F37" s="241" t="s">
        <v>26</v>
      </c>
      <c r="S37" s="1"/>
    </row>
    <row r="38" spans="2:20" ht="31.5" customHeight="1" thickTop="1" thickBot="1" x14ac:dyDescent="0.3">
      <c r="B38" s="272" t="s">
        <v>98</v>
      </c>
      <c r="C38" s="273"/>
      <c r="D38" s="273"/>
      <c r="E38" s="240">
        <f>SUMIF(D25:D31,"&lt;=1,5",I25:I31)</f>
        <v>2.6</v>
      </c>
      <c r="F38" s="241" t="s">
        <v>26</v>
      </c>
      <c r="S38" s="1"/>
    </row>
    <row r="39" spans="2:20" ht="31.5" customHeight="1" thickTop="1" thickBot="1" x14ac:dyDescent="0.3">
      <c r="B39" s="272" t="s">
        <v>99</v>
      </c>
      <c r="C39" s="273"/>
      <c r="D39" s="273"/>
      <c r="E39" s="240">
        <f>SUMIF(D25:D31,"&gt;1,5",I25:I31)</f>
        <v>0</v>
      </c>
      <c r="F39" s="241" t="s">
        <v>26</v>
      </c>
      <c r="S39" s="1"/>
    </row>
    <row r="40" spans="2:20" ht="31.5" customHeight="1" thickTop="1" thickBot="1" x14ac:dyDescent="0.3">
      <c r="B40" s="274" t="s">
        <v>93</v>
      </c>
      <c r="C40" s="275"/>
      <c r="D40" s="276"/>
      <c r="E40" s="240">
        <f>SUMIF(D18:D21,"&lt;=1,5",H18:H21)</f>
        <v>14</v>
      </c>
      <c r="F40" s="241" t="s">
        <v>26</v>
      </c>
      <c r="S40" s="1"/>
    </row>
    <row r="41" spans="2:20" ht="30.75" customHeight="1" thickTop="1" thickBot="1" x14ac:dyDescent="0.3">
      <c r="B41" s="270" t="s">
        <v>97</v>
      </c>
      <c r="C41" s="271"/>
      <c r="D41" s="271"/>
      <c r="E41" s="255">
        <f>SUMIF(D18:D21,"&gt;1,5",H18:H21)</f>
        <v>0</v>
      </c>
      <c r="F41" s="256" t="s">
        <v>26</v>
      </c>
      <c r="S41" s="1"/>
    </row>
    <row r="42" spans="2:20" ht="9.9" customHeight="1" x14ac:dyDescent="0.25">
      <c r="B42" s="14"/>
      <c r="C42" s="14"/>
      <c r="D42" s="14"/>
      <c r="E42" s="13"/>
      <c r="F42" s="12"/>
      <c r="S42" s="1"/>
    </row>
    <row r="43" spans="2:20" ht="1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20" ht="30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20" ht="15" customHeight="1" x14ac:dyDescent="0.25">
      <c r="B45" s="259" t="s">
        <v>25</v>
      </c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11"/>
      <c r="T45" s="1"/>
    </row>
    <row r="46" spans="2:20" ht="9.9" customHeight="1" thickBot="1" x14ac:dyDescent="0.3">
      <c r="S46" s="1"/>
    </row>
    <row r="47" spans="2:20" ht="15" customHeight="1" x14ac:dyDescent="0.25">
      <c r="B47" s="261" t="s">
        <v>44</v>
      </c>
      <c r="C47" s="262"/>
      <c r="D47" s="262"/>
      <c r="E47" s="262"/>
      <c r="F47" s="263"/>
      <c r="S47" s="1"/>
    </row>
    <row r="48" spans="2:20" ht="15" customHeight="1" x14ac:dyDescent="0.25">
      <c r="B48" s="24" t="s">
        <v>24</v>
      </c>
      <c r="C48" s="23" t="s">
        <v>23</v>
      </c>
      <c r="D48" s="23" t="s">
        <v>22</v>
      </c>
      <c r="E48" s="23" t="s">
        <v>10</v>
      </c>
      <c r="F48" s="22" t="s">
        <v>5</v>
      </c>
      <c r="S48" s="1"/>
    </row>
    <row r="49" spans="2:19" ht="15" customHeight="1" x14ac:dyDescent="0.25">
      <c r="B49" s="59" t="s">
        <v>72</v>
      </c>
      <c r="C49" s="249">
        <v>4</v>
      </c>
      <c r="D49" s="249">
        <v>1.2</v>
      </c>
      <c r="E49" s="249">
        <v>1.8</v>
      </c>
      <c r="F49" s="254">
        <f t="shared" ref="F49:F60" si="10">C49*D49*E49</f>
        <v>8.64</v>
      </c>
      <c r="S49" s="1"/>
    </row>
    <row r="50" spans="2:19" ht="15" customHeight="1" x14ac:dyDescent="0.25">
      <c r="B50" s="59" t="s">
        <v>73</v>
      </c>
      <c r="C50" s="253">
        <v>1</v>
      </c>
      <c r="D50" s="253">
        <v>1.3</v>
      </c>
      <c r="E50" s="249">
        <v>1.8</v>
      </c>
      <c r="F50" s="254">
        <f t="shared" ref="F50" si="11">C50*D50*E50</f>
        <v>2.3400000000000003</v>
      </c>
      <c r="S50" s="1"/>
    </row>
    <row r="51" spans="2:19" ht="15" customHeight="1" x14ac:dyDescent="0.25">
      <c r="B51" s="59" t="s">
        <v>74</v>
      </c>
      <c r="C51" s="253">
        <v>1</v>
      </c>
      <c r="D51" s="253">
        <v>0.66</v>
      </c>
      <c r="E51" s="249">
        <v>1.8</v>
      </c>
      <c r="F51" s="254">
        <f t="shared" si="10"/>
        <v>1.1880000000000002</v>
      </c>
      <c r="S51" s="1"/>
    </row>
    <row r="52" spans="2:19" ht="15" customHeight="1" x14ac:dyDescent="0.25">
      <c r="B52" s="204" t="s">
        <v>75</v>
      </c>
      <c r="C52" s="249">
        <v>1</v>
      </c>
      <c r="D52" s="249">
        <v>1.7</v>
      </c>
      <c r="E52" s="249">
        <v>1.8</v>
      </c>
      <c r="F52" s="254">
        <f t="shared" si="10"/>
        <v>3.06</v>
      </c>
      <c r="S52" s="1"/>
    </row>
    <row r="53" spans="2:19" ht="15" customHeight="1" x14ac:dyDescent="0.25">
      <c r="B53" s="59" t="s">
        <v>76</v>
      </c>
      <c r="C53" s="249">
        <v>1</v>
      </c>
      <c r="D53" s="249">
        <v>0.99</v>
      </c>
      <c r="E53" s="249">
        <v>1.8</v>
      </c>
      <c r="F53" s="254">
        <f t="shared" ref="F53:F54" si="12">C53*D53*E53</f>
        <v>1.782</v>
      </c>
      <c r="S53" s="1"/>
    </row>
    <row r="54" spans="2:19" ht="15" customHeight="1" x14ac:dyDescent="0.25">
      <c r="B54" s="59" t="s">
        <v>77</v>
      </c>
      <c r="C54" s="249">
        <v>2</v>
      </c>
      <c r="D54" s="249">
        <v>1.2</v>
      </c>
      <c r="E54" s="249">
        <v>1.8</v>
      </c>
      <c r="F54" s="254">
        <f t="shared" si="12"/>
        <v>4.32</v>
      </c>
      <c r="S54" s="1"/>
    </row>
    <row r="55" spans="2:19" ht="15" customHeight="1" x14ac:dyDescent="0.25">
      <c r="B55" s="59" t="s">
        <v>77</v>
      </c>
      <c r="C55" s="249">
        <v>1</v>
      </c>
      <c r="D55" s="249">
        <v>0.63</v>
      </c>
      <c r="E55" s="249">
        <v>1.8</v>
      </c>
      <c r="F55" s="254">
        <f t="shared" ref="F55" si="13">C55*D55*E55</f>
        <v>1.1340000000000001</v>
      </c>
      <c r="S55" s="1"/>
    </row>
    <row r="56" spans="2:19" ht="15" customHeight="1" x14ac:dyDescent="0.25">
      <c r="B56" s="59" t="s">
        <v>78</v>
      </c>
      <c r="C56" s="249">
        <v>1</v>
      </c>
      <c r="D56" s="249">
        <v>0.8</v>
      </c>
      <c r="E56" s="249">
        <v>1.8</v>
      </c>
      <c r="F56" s="254">
        <f t="shared" si="10"/>
        <v>1.4400000000000002</v>
      </c>
      <c r="S56" s="1"/>
    </row>
    <row r="57" spans="2:19" ht="15" customHeight="1" x14ac:dyDescent="0.25">
      <c r="B57" s="59" t="s">
        <v>78</v>
      </c>
      <c r="C57" s="249">
        <v>1</v>
      </c>
      <c r="D57" s="249">
        <v>0.4</v>
      </c>
      <c r="E57" s="249">
        <v>1.2</v>
      </c>
      <c r="F57" s="254">
        <f t="shared" si="10"/>
        <v>0.48</v>
      </c>
      <c r="S57" s="1"/>
    </row>
    <row r="58" spans="2:19" ht="15" customHeight="1" x14ac:dyDescent="0.25">
      <c r="B58" s="59" t="s">
        <v>79</v>
      </c>
      <c r="C58" s="249">
        <v>7</v>
      </c>
      <c r="D58" s="249">
        <v>1.2</v>
      </c>
      <c r="E58" s="249">
        <v>1.8</v>
      </c>
      <c r="F58" s="254">
        <f t="shared" si="10"/>
        <v>15.120000000000001</v>
      </c>
      <c r="S58" s="1"/>
    </row>
    <row r="59" spans="2:19" ht="15" customHeight="1" x14ac:dyDescent="0.25">
      <c r="B59" s="59" t="s">
        <v>81</v>
      </c>
      <c r="C59" s="249">
        <v>1</v>
      </c>
      <c r="D59" s="249">
        <v>2.97</v>
      </c>
      <c r="E59" s="249">
        <v>1.8</v>
      </c>
      <c r="F59" s="254">
        <f t="shared" si="10"/>
        <v>5.3460000000000001</v>
      </c>
      <c r="S59" s="1"/>
    </row>
    <row r="60" spans="2:19" ht="15" customHeight="1" x14ac:dyDescent="0.25">
      <c r="B60" s="59" t="s">
        <v>80</v>
      </c>
      <c r="C60" s="249">
        <v>1</v>
      </c>
      <c r="D60" s="249">
        <v>1.7</v>
      </c>
      <c r="E60" s="249">
        <v>1.8</v>
      </c>
      <c r="F60" s="254">
        <f t="shared" si="10"/>
        <v>3.06</v>
      </c>
      <c r="S60" s="1"/>
    </row>
    <row r="61" spans="2:19" ht="15" customHeight="1" x14ac:dyDescent="0.25">
      <c r="B61" s="59" t="s">
        <v>80</v>
      </c>
      <c r="C61" s="249">
        <v>1</v>
      </c>
      <c r="D61" s="249">
        <v>0.99</v>
      </c>
      <c r="E61" s="249">
        <v>1.8</v>
      </c>
      <c r="F61" s="254">
        <f t="shared" ref="F61:F63" si="14">C61*D61*E61</f>
        <v>1.782</v>
      </c>
      <c r="S61" s="1"/>
    </row>
    <row r="62" spans="2:19" ht="15" customHeight="1" x14ac:dyDescent="0.25">
      <c r="B62" s="59" t="s">
        <v>52</v>
      </c>
      <c r="C62" s="249">
        <v>1</v>
      </c>
      <c r="D62" s="249">
        <v>1.2</v>
      </c>
      <c r="E62" s="249">
        <v>1.8</v>
      </c>
      <c r="F62" s="254">
        <f t="shared" si="14"/>
        <v>2.16</v>
      </c>
      <c r="S62" s="1"/>
    </row>
    <row r="63" spans="2:19" ht="15" customHeight="1" x14ac:dyDescent="0.25">
      <c r="B63" s="59" t="s">
        <v>52</v>
      </c>
      <c r="C63" s="249">
        <v>1</v>
      </c>
      <c r="D63" s="249">
        <v>0.8</v>
      </c>
      <c r="E63" s="249">
        <v>1.8</v>
      </c>
      <c r="F63" s="254">
        <f t="shared" si="14"/>
        <v>1.4400000000000002</v>
      </c>
      <c r="S63" s="1"/>
    </row>
    <row r="64" spans="2:19" ht="15" customHeight="1" x14ac:dyDescent="0.25">
      <c r="B64" s="20"/>
      <c r="C64" s="18"/>
      <c r="D64" s="18"/>
      <c r="E64" s="18"/>
      <c r="F64" s="17"/>
      <c r="S64" s="1"/>
    </row>
    <row r="65" spans="1:21" ht="5.0999999999999996" customHeight="1" thickBot="1" x14ac:dyDescent="0.3">
      <c r="S65" s="1"/>
    </row>
    <row r="66" spans="1:21" ht="14.4" thickBot="1" x14ac:dyDescent="0.3">
      <c r="B66" s="268" t="s">
        <v>105</v>
      </c>
      <c r="C66" s="269"/>
      <c r="D66" s="269"/>
      <c r="E66" s="16">
        <f>SUM(F49:F56,F58:F63)</f>
        <v>52.811999999999998</v>
      </c>
      <c r="F66" s="15" t="s">
        <v>0</v>
      </c>
      <c r="S66" s="1"/>
    </row>
    <row r="67" spans="1:21" ht="14.4" thickBot="1" x14ac:dyDescent="0.3">
      <c r="B67" s="268" t="s">
        <v>106</v>
      </c>
      <c r="C67" s="269"/>
      <c r="D67" s="269"/>
      <c r="E67" s="16">
        <f>SUM(F57)</f>
        <v>0.48</v>
      </c>
      <c r="F67" s="15" t="s">
        <v>0</v>
      </c>
      <c r="G67" s="14"/>
      <c r="H67" s="14"/>
      <c r="I67" s="14"/>
      <c r="J67" s="13"/>
      <c r="K67" s="12"/>
      <c r="S67" s="1"/>
    </row>
    <row r="68" spans="1:21" s="1" customFormat="1" x14ac:dyDescent="0.25"/>
    <row r="69" spans="1:21" ht="30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21" x14ac:dyDescent="0.25">
      <c r="B70" s="259" t="s">
        <v>21</v>
      </c>
      <c r="C70" s="259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59"/>
      <c r="S70" s="11"/>
    </row>
    <row r="71" spans="1:21" ht="9.9" customHeight="1" thickBot="1" x14ac:dyDescent="0.3">
      <c r="S71" s="1"/>
    </row>
    <row r="72" spans="1:21" ht="15" customHeight="1" thickBot="1" x14ac:dyDescent="0.3">
      <c r="B72" s="10" t="s">
        <v>20</v>
      </c>
      <c r="C72" s="4"/>
      <c r="S72" s="9"/>
    </row>
    <row r="73" spans="1:21" ht="15" customHeight="1" x14ac:dyDescent="0.25">
      <c r="A73" s="1"/>
      <c r="B73" s="293" t="s">
        <v>13</v>
      </c>
      <c r="C73" s="296" t="s">
        <v>12</v>
      </c>
      <c r="D73" s="296" t="s">
        <v>11</v>
      </c>
      <c r="E73" s="285" t="s">
        <v>10</v>
      </c>
      <c r="F73" s="288" t="s">
        <v>5</v>
      </c>
      <c r="G73" s="315" t="s">
        <v>9</v>
      </c>
      <c r="H73" s="315"/>
      <c r="I73" s="315"/>
      <c r="J73" s="315"/>
      <c r="K73" s="315"/>
      <c r="L73" s="315"/>
      <c r="M73" s="315"/>
      <c r="N73" s="316" t="s">
        <v>8</v>
      </c>
      <c r="O73" s="312" t="s">
        <v>63</v>
      </c>
      <c r="P73" s="312" t="s">
        <v>64</v>
      </c>
      <c r="Q73" s="312" t="s">
        <v>65</v>
      </c>
      <c r="R73" s="309" t="s">
        <v>66</v>
      </c>
      <c r="S73" s="8"/>
    </row>
    <row r="74" spans="1:21" ht="15" customHeight="1" x14ac:dyDescent="0.25">
      <c r="A74" s="1"/>
      <c r="B74" s="294"/>
      <c r="C74" s="297"/>
      <c r="D74" s="297"/>
      <c r="E74" s="286"/>
      <c r="F74" s="289"/>
      <c r="G74" s="321" t="s">
        <v>91</v>
      </c>
      <c r="H74" s="322"/>
      <c r="I74" s="323"/>
      <c r="J74" s="321" t="s">
        <v>35</v>
      </c>
      <c r="K74" s="322"/>
      <c r="L74" s="323"/>
      <c r="M74" s="225"/>
      <c r="N74" s="317"/>
      <c r="O74" s="313"/>
      <c r="P74" s="313"/>
      <c r="Q74" s="313"/>
      <c r="R74" s="310"/>
      <c r="S74" s="333" t="s">
        <v>113</v>
      </c>
      <c r="T74" s="332" t="s">
        <v>114</v>
      </c>
    </row>
    <row r="75" spans="1:21" ht="15" customHeight="1" thickBot="1" x14ac:dyDescent="0.3">
      <c r="A75" s="1"/>
      <c r="B75" s="295"/>
      <c r="C75" s="298"/>
      <c r="D75" s="298"/>
      <c r="E75" s="287"/>
      <c r="F75" s="290" t="s">
        <v>14</v>
      </c>
      <c r="G75" s="76" t="s">
        <v>7</v>
      </c>
      <c r="H75" s="76" t="s">
        <v>6</v>
      </c>
      <c r="I75" s="76" t="s">
        <v>5</v>
      </c>
      <c r="J75" s="76" t="s">
        <v>7</v>
      </c>
      <c r="K75" s="76" t="s">
        <v>6</v>
      </c>
      <c r="L75" s="76" t="s">
        <v>5</v>
      </c>
      <c r="M75" s="77" t="s">
        <v>62</v>
      </c>
      <c r="N75" s="318"/>
      <c r="O75" s="314"/>
      <c r="P75" s="314"/>
      <c r="Q75" s="314"/>
      <c r="R75" s="311"/>
      <c r="S75" s="333"/>
      <c r="T75" s="332"/>
      <c r="U75" s="65"/>
    </row>
    <row r="76" spans="1:21" s="1" customFormat="1" ht="24.9" customHeight="1" x14ac:dyDescent="0.25">
      <c r="B76" s="258" t="s">
        <v>45</v>
      </c>
      <c r="C76" s="101">
        <v>0.15</v>
      </c>
      <c r="D76" s="101">
        <f>2.728</f>
        <v>2.7280000000000002</v>
      </c>
      <c r="E76" s="101">
        <v>2.5</v>
      </c>
      <c r="F76" s="102">
        <f>D76*E76</f>
        <v>6.82</v>
      </c>
      <c r="G76" s="103"/>
      <c r="H76" s="104"/>
      <c r="I76" s="105">
        <f t="shared" ref="I76:I115" si="15">IFERROR(H76*(VLOOKUP(G76,$B$25:$F$32,5,0)),0)</f>
        <v>0</v>
      </c>
      <c r="J76" s="106" t="s">
        <v>56</v>
      </c>
      <c r="K76" s="104">
        <v>1</v>
      </c>
      <c r="L76" s="105">
        <f>IFERROR(K76*(VLOOKUP(J76,$B$18:$F$21,5,0)),0)</f>
        <v>2.1</v>
      </c>
      <c r="M76" s="107">
        <f>I76+L76</f>
        <v>2.1</v>
      </c>
      <c r="N76" s="108">
        <f>F76-M76</f>
        <v>4.7200000000000006</v>
      </c>
      <c r="O76" s="109" t="str">
        <f>IF(M76&gt;0,"",IF(F76&lt;6,N76,""))</f>
        <v/>
      </c>
      <c r="P76" s="110" t="str">
        <f>IF(M76=0,"",IF(F76&lt;6,N76,""))</f>
        <v/>
      </c>
      <c r="Q76" s="110" t="str">
        <f>IF(M76&gt;0,"",IF(F76&gt;=6,N76,""))</f>
        <v/>
      </c>
      <c r="R76" s="111">
        <f>IF(M76=0,"",IF(F76&gt;=6,N76,""))</f>
        <v>4.7200000000000006</v>
      </c>
      <c r="S76" s="3" t="s">
        <v>111</v>
      </c>
      <c r="T76" s="9" t="s">
        <v>111</v>
      </c>
      <c r="U76" s="66"/>
    </row>
    <row r="77" spans="1:21" s="1" customFormat="1" ht="24.9" customHeight="1" x14ac:dyDescent="0.25">
      <c r="B77" s="92" t="s">
        <v>45</v>
      </c>
      <c r="C77" s="205">
        <v>0.15</v>
      </c>
      <c r="D77" s="205">
        <v>3.4249999999999998</v>
      </c>
      <c r="E77" s="205">
        <v>3.1</v>
      </c>
      <c r="F77" s="206">
        <f>D77*E77</f>
        <v>10.6175</v>
      </c>
      <c r="G77" s="86"/>
      <c r="H77" s="80"/>
      <c r="I77" s="81">
        <f t="shared" ref="I77" si="16">IFERROR(H77*(VLOOKUP(G77,$B$25:$F$32,5,0)),0)</f>
        <v>0</v>
      </c>
      <c r="J77" s="79"/>
      <c r="K77" s="80"/>
      <c r="L77" s="81">
        <f>IFERROR(K77*(VLOOKUP(J77,$B$18:$F$21,5,0)),0)</f>
        <v>0</v>
      </c>
      <c r="M77" s="84">
        <f>I77+L77</f>
        <v>0</v>
      </c>
      <c r="N77" s="88">
        <f>F77-M77</f>
        <v>10.6175</v>
      </c>
      <c r="O77" s="85" t="str">
        <f>IF(M77&gt;0,"",IF(F77&lt;6,N77,""))</f>
        <v/>
      </c>
      <c r="P77" s="82" t="str">
        <f>IF(M77=0,"",IF(F77&lt;6,N77,""))</f>
        <v/>
      </c>
      <c r="Q77" s="82">
        <f>IF(M77&gt;0,"",IF(F77&gt;=6,N77,""))</f>
        <v>10.6175</v>
      </c>
      <c r="R77" s="83" t="str">
        <f>IF(M77=0,"",IF(F77&gt;=6,N77,""))</f>
        <v/>
      </c>
      <c r="S77" s="3" t="s">
        <v>111</v>
      </c>
      <c r="T77" s="9" t="s">
        <v>111</v>
      </c>
      <c r="U77" s="66"/>
    </row>
    <row r="78" spans="1:21" s="1" customFormat="1" ht="24.9" customHeight="1" x14ac:dyDescent="0.25">
      <c r="B78" s="159" t="s">
        <v>45</v>
      </c>
      <c r="C78" s="185">
        <v>0.15</v>
      </c>
      <c r="D78" s="185">
        <v>1.97</v>
      </c>
      <c r="E78" s="185">
        <v>3.1</v>
      </c>
      <c r="F78" s="186">
        <f>D78*E78</f>
        <v>6.1070000000000002</v>
      </c>
      <c r="G78" s="140" t="s">
        <v>71</v>
      </c>
      <c r="H78" s="141">
        <v>1</v>
      </c>
      <c r="I78" s="142">
        <f t="shared" si="15"/>
        <v>0.84</v>
      </c>
      <c r="J78" s="143"/>
      <c r="K78" s="141"/>
      <c r="L78" s="142">
        <f>IFERROR(K78*(VLOOKUP(J78,$B$18:$F$21,5,0)),0)</f>
        <v>0</v>
      </c>
      <c r="M78" s="144">
        <f>I78+L78</f>
        <v>0.84</v>
      </c>
      <c r="N78" s="145">
        <f>F78-M78</f>
        <v>5.2670000000000003</v>
      </c>
      <c r="O78" s="146" t="str">
        <f>IF(M78&gt;0,"",IF(F78&lt;6,N78,""))</f>
        <v/>
      </c>
      <c r="P78" s="147" t="str">
        <f>IF(M78=0,"",IF(F78&lt;6,N78,""))</f>
        <v/>
      </c>
      <c r="Q78" s="147" t="str">
        <f>IF(M78&gt;0,"",IF(F78&gt;=6,N78,""))</f>
        <v/>
      </c>
      <c r="R78" s="148">
        <f>IF(M78=0,"",IF(F78&gt;=6,N78,""))</f>
        <v>5.2670000000000003</v>
      </c>
      <c r="S78" s="3" t="s">
        <v>111</v>
      </c>
      <c r="T78" s="9"/>
      <c r="U78" s="66"/>
    </row>
    <row r="79" spans="1:21" s="1" customFormat="1" ht="24.9" customHeight="1" x14ac:dyDescent="0.25">
      <c r="B79" s="92" t="s">
        <v>50</v>
      </c>
      <c r="C79" s="78">
        <v>0.15</v>
      </c>
      <c r="D79" s="78">
        <v>2.4500000000000002</v>
      </c>
      <c r="E79" s="78">
        <v>2.5</v>
      </c>
      <c r="F79" s="87">
        <f>D79*E79</f>
        <v>6.125</v>
      </c>
      <c r="G79" s="86"/>
      <c r="H79" s="80"/>
      <c r="I79" s="81">
        <f t="shared" si="15"/>
        <v>0</v>
      </c>
      <c r="J79" s="79" t="s">
        <v>2</v>
      </c>
      <c r="K79" s="80">
        <v>1</v>
      </c>
      <c r="L79" s="81">
        <f>IFERROR(K79*(VLOOKUP(J79,$B$18:$F$21,5,0)),0)</f>
        <v>1.6800000000000002</v>
      </c>
      <c r="M79" s="84">
        <f>I79+L79</f>
        <v>1.6800000000000002</v>
      </c>
      <c r="N79" s="88">
        <f>F79-M79</f>
        <v>4.4450000000000003</v>
      </c>
      <c r="O79" s="85" t="str">
        <f>IF(M79&gt;0,"",IF(F79&lt;6,N79,""))</f>
        <v/>
      </c>
      <c r="P79" s="82" t="str">
        <f>IF(M79=0,"",IF(F79&lt;6,N79,""))</f>
        <v/>
      </c>
      <c r="Q79" s="82" t="str">
        <f>IF(M79&gt;0,"",IF(F79&gt;=6,N79,""))</f>
        <v/>
      </c>
      <c r="R79" s="83">
        <f>IF(M79=0,"",IF(F79&gt;=6,N79,""))</f>
        <v>4.4450000000000003</v>
      </c>
      <c r="S79" s="3" t="s">
        <v>111</v>
      </c>
      <c r="T79" s="9" t="s">
        <v>111</v>
      </c>
      <c r="U79" s="66"/>
    </row>
    <row r="80" spans="1:21" s="1" customFormat="1" ht="24.9" customHeight="1" x14ac:dyDescent="0.25">
      <c r="B80" s="92" t="s">
        <v>50</v>
      </c>
      <c r="C80" s="78">
        <v>0.15</v>
      </c>
      <c r="D80" s="78">
        <v>2.6</v>
      </c>
      <c r="E80" s="208">
        <v>3.1</v>
      </c>
      <c r="F80" s="87">
        <f>D80*E80</f>
        <v>8.06</v>
      </c>
      <c r="G80" s="86"/>
      <c r="H80" s="80"/>
      <c r="I80" s="81">
        <f t="shared" si="15"/>
        <v>0</v>
      </c>
      <c r="J80" s="79"/>
      <c r="K80" s="80"/>
      <c r="L80" s="81">
        <f>IFERROR(K80*(VLOOKUP(J80,$B$18:$F$21,5,0)),0)</f>
        <v>0</v>
      </c>
      <c r="M80" s="84">
        <f>I80+L80</f>
        <v>0</v>
      </c>
      <c r="N80" s="88">
        <f>F80-M80</f>
        <v>8.06</v>
      </c>
      <c r="O80" s="85" t="str">
        <f>IF(M80&gt;0,"",IF(F80&lt;6,N80,""))</f>
        <v/>
      </c>
      <c r="P80" s="82" t="str">
        <f>IF(M80=0,"",IF(F80&lt;6,N80,""))</f>
        <v/>
      </c>
      <c r="Q80" s="82">
        <f>IF(M80&gt;0,"",IF(F80&gt;=6,N80,""))</f>
        <v>8.06</v>
      </c>
      <c r="R80" s="83" t="str">
        <f>IF(M80=0,"",IF(F80&gt;=6,N80,""))</f>
        <v/>
      </c>
      <c r="S80" s="3" t="s">
        <v>111</v>
      </c>
      <c r="T80" s="9" t="s">
        <v>111</v>
      </c>
      <c r="U80" s="66"/>
    </row>
    <row r="81" spans="2:21" s="1" customFormat="1" ht="24.9" customHeight="1" x14ac:dyDescent="0.25">
      <c r="B81" s="134" t="s">
        <v>46</v>
      </c>
      <c r="C81" s="135">
        <v>0.15</v>
      </c>
      <c r="D81" s="135">
        <f>1.95</f>
        <v>1.95</v>
      </c>
      <c r="E81" s="207">
        <v>2.5</v>
      </c>
      <c r="F81" s="136">
        <f t="shared" ref="F81:F105" si="17">D81*E81</f>
        <v>4.875</v>
      </c>
      <c r="G81" s="114" t="s">
        <v>4</v>
      </c>
      <c r="H81" s="115">
        <v>1</v>
      </c>
      <c r="I81" s="116">
        <f t="shared" si="15"/>
        <v>2.1</v>
      </c>
      <c r="J81" s="117" t="s">
        <v>2</v>
      </c>
      <c r="K81" s="115">
        <v>1</v>
      </c>
      <c r="L81" s="116">
        <f t="shared" ref="L81:L115" si="18">IFERROR(K81*(VLOOKUP(J81,$B$18:$F$21,5,0)),0)</f>
        <v>1.6800000000000002</v>
      </c>
      <c r="M81" s="118">
        <f t="shared" ref="M81:M115" si="19">I81+L81</f>
        <v>3.7800000000000002</v>
      </c>
      <c r="N81" s="119">
        <f t="shared" ref="N81:N115" si="20">F81-M81</f>
        <v>1.0949999999999998</v>
      </c>
      <c r="O81" s="120" t="str">
        <f t="shared" ref="O81:O115" si="21">IF(M81&gt;0,"",IF(F81&lt;6,N81,""))</f>
        <v/>
      </c>
      <c r="P81" s="121">
        <f t="shared" ref="P81:P115" si="22">IF(M81=0,"",IF(F81&lt;6,N81,""))</f>
        <v>1.0949999999999998</v>
      </c>
      <c r="Q81" s="121" t="str">
        <f t="shared" ref="Q81:Q115" si="23">IF(M81&gt;0,"",IF(F81&gt;=6,N81,""))</f>
        <v/>
      </c>
      <c r="R81" s="122" t="str">
        <f t="shared" ref="R81:R115" si="24">IF(M81=0,"",IF(F81&gt;=6,N81,""))</f>
        <v/>
      </c>
      <c r="S81" s="3" t="s">
        <v>111</v>
      </c>
      <c r="T81" s="9" t="s">
        <v>111</v>
      </c>
      <c r="U81" s="66"/>
    </row>
    <row r="82" spans="2:21" s="1" customFormat="1" ht="24.9" customHeight="1" x14ac:dyDescent="0.25">
      <c r="B82" s="209" t="s">
        <v>46</v>
      </c>
      <c r="C82" s="135">
        <v>0.15</v>
      </c>
      <c r="D82" s="78">
        <v>1.7</v>
      </c>
      <c r="E82" s="78">
        <v>2.5</v>
      </c>
      <c r="F82" s="87">
        <f t="shared" si="17"/>
        <v>4.25</v>
      </c>
      <c r="G82" s="86"/>
      <c r="H82" s="80"/>
      <c r="I82" s="81">
        <f t="shared" ref="I82" si="25">IFERROR(H82*(VLOOKUP(G82,$B$25:$F$32,5,0)),0)</f>
        <v>0</v>
      </c>
      <c r="J82" s="79"/>
      <c r="K82" s="80"/>
      <c r="L82" s="81">
        <f t="shared" si="18"/>
        <v>0</v>
      </c>
      <c r="M82" s="84">
        <f t="shared" si="19"/>
        <v>0</v>
      </c>
      <c r="N82" s="88">
        <f t="shared" si="20"/>
        <v>4.25</v>
      </c>
      <c r="O82" s="85">
        <f t="shared" si="21"/>
        <v>4.25</v>
      </c>
      <c r="P82" s="82" t="str">
        <f t="shared" si="22"/>
        <v/>
      </c>
      <c r="Q82" s="82" t="str">
        <f t="shared" si="23"/>
        <v/>
      </c>
      <c r="R82" s="83" t="str">
        <f t="shared" si="24"/>
        <v/>
      </c>
      <c r="S82" s="3" t="s">
        <v>111</v>
      </c>
      <c r="T82" s="9" t="s">
        <v>111</v>
      </c>
      <c r="U82" s="66"/>
    </row>
    <row r="83" spans="2:21" s="1" customFormat="1" ht="24.9" customHeight="1" x14ac:dyDescent="0.25">
      <c r="B83" s="137" t="s">
        <v>46</v>
      </c>
      <c r="C83" s="138">
        <v>0.15</v>
      </c>
      <c r="D83" s="138">
        <v>2</v>
      </c>
      <c r="E83" s="138">
        <v>3.1</v>
      </c>
      <c r="F83" s="139">
        <f t="shared" ref="F83" si="26">D83*E83</f>
        <v>6.2</v>
      </c>
      <c r="G83" s="140"/>
      <c r="H83" s="141"/>
      <c r="I83" s="142">
        <f t="shared" si="15"/>
        <v>0</v>
      </c>
      <c r="J83" s="143"/>
      <c r="K83" s="141"/>
      <c r="L83" s="142">
        <f t="shared" ref="L83" si="27">IFERROR(K83*(VLOOKUP(J83,$B$18:$F$21,5,0)),0)</f>
        <v>0</v>
      </c>
      <c r="M83" s="144">
        <f t="shared" ref="M83" si="28">I83+L83</f>
        <v>0</v>
      </c>
      <c r="N83" s="145">
        <f t="shared" ref="N83" si="29">F83-M83</f>
        <v>6.2</v>
      </c>
      <c r="O83" s="146" t="str">
        <f t="shared" ref="O83" si="30">IF(M83&gt;0,"",IF(F83&lt;6,N83,""))</f>
        <v/>
      </c>
      <c r="P83" s="147" t="str">
        <f t="shared" ref="P83" si="31">IF(M83=0,"",IF(F83&lt;6,N83,""))</f>
        <v/>
      </c>
      <c r="Q83" s="147">
        <f t="shared" ref="Q83" si="32">IF(M83&gt;0,"",IF(F83&gt;=6,N83,""))</f>
        <v>6.2</v>
      </c>
      <c r="R83" s="148" t="str">
        <f t="shared" ref="R83" si="33">IF(M83=0,"",IF(F83&gt;=6,N83,""))</f>
        <v/>
      </c>
      <c r="S83" s="3" t="s">
        <v>111</v>
      </c>
      <c r="T83" s="9" t="s">
        <v>111</v>
      </c>
      <c r="U83" s="66"/>
    </row>
    <row r="84" spans="2:21" s="1" customFormat="1" ht="24.9" customHeight="1" x14ac:dyDescent="0.25">
      <c r="B84" s="158" t="s">
        <v>47</v>
      </c>
      <c r="C84" s="135">
        <v>0.15</v>
      </c>
      <c r="D84" s="135">
        <f>1.2</f>
        <v>1.2</v>
      </c>
      <c r="E84" s="78">
        <v>2.5</v>
      </c>
      <c r="F84" s="136">
        <f t="shared" si="17"/>
        <v>3</v>
      </c>
      <c r="G84" s="114" t="s">
        <v>3</v>
      </c>
      <c r="H84" s="115">
        <v>1</v>
      </c>
      <c r="I84" s="116">
        <f t="shared" si="15"/>
        <v>0.84</v>
      </c>
      <c r="J84" s="117"/>
      <c r="K84" s="115"/>
      <c r="L84" s="116">
        <f t="shared" si="18"/>
        <v>0</v>
      </c>
      <c r="M84" s="118">
        <f t="shared" si="19"/>
        <v>0.84</v>
      </c>
      <c r="N84" s="119">
        <f t="shared" si="20"/>
        <v>2.16</v>
      </c>
      <c r="O84" s="120" t="str">
        <f t="shared" si="21"/>
        <v/>
      </c>
      <c r="P84" s="121">
        <f t="shared" si="22"/>
        <v>2.16</v>
      </c>
      <c r="Q84" s="121" t="str">
        <f t="shared" si="23"/>
        <v/>
      </c>
      <c r="R84" s="122" t="str">
        <f t="shared" si="24"/>
        <v/>
      </c>
      <c r="S84" s="3" t="s">
        <v>111</v>
      </c>
      <c r="T84" s="9"/>
      <c r="U84" s="66"/>
    </row>
    <row r="85" spans="2:21" s="1" customFormat="1" ht="24.9" customHeight="1" x14ac:dyDescent="0.25">
      <c r="B85" s="92" t="s">
        <v>47</v>
      </c>
      <c r="C85" s="78">
        <v>0.15</v>
      </c>
      <c r="D85" s="78">
        <v>0.34</v>
      </c>
      <c r="E85" s="78">
        <v>2.5</v>
      </c>
      <c r="F85" s="87">
        <f t="shared" ref="F85" si="34">D85*E85</f>
        <v>0.85000000000000009</v>
      </c>
      <c r="G85" s="86"/>
      <c r="H85" s="80"/>
      <c r="I85" s="81">
        <f t="shared" si="15"/>
        <v>0</v>
      </c>
      <c r="J85" s="79"/>
      <c r="K85" s="80"/>
      <c r="L85" s="81">
        <f t="shared" ref="L85" si="35">IFERROR(K85*(VLOOKUP(J85,$B$18:$F$21,5,0)),0)</f>
        <v>0</v>
      </c>
      <c r="M85" s="84">
        <f t="shared" ref="M85" si="36">I85+L85</f>
        <v>0</v>
      </c>
      <c r="N85" s="88">
        <f t="shared" ref="N85" si="37">F85-M85</f>
        <v>0.85000000000000009</v>
      </c>
      <c r="O85" s="85">
        <f t="shared" ref="O85" si="38">IF(M85&gt;0,"",IF(F85&lt;6,N85,""))</f>
        <v>0.85000000000000009</v>
      </c>
      <c r="P85" s="82" t="str">
        <f t="shared" ref="P85" si="39">IF(M85=0,"",IF(F85&lt;6,N85,""))</f>
        <v/>
      </c>
      <c r="Q85" s="82" t="str">
        <f t="shared" ref="Q85" si="40">IF(M85&gt;0,"",IF(F85&gt;=6,N85,""))</f>
        <v/>
      </c>
      <c r="R85" s="83" t="str">
        <f t="shared" ref="R85" si="41">IF(M85=0,"",IF(F85&gt;=6,N85,""))</f>
        <v/>
      </c>
      <c r="S85" s="3" t="s">
        <v>111</v>
      </c>
      <c r="T85" s="9" t="s">
        <v>111</v>
      </c>
      <c r="U85" s="66"/>
    </row>
    <row r="86" spans="2:21" s="1" customFormat="1" ht="24.9" customHeight="1" x14ac:dyDescent="0.25">
      <c r="B86" s="183" t="s">
        <v>47</v>
      </c>
      <c r="C86" s="164">
        <v>0.15</v>
      </c>
      <c r="D86" s="164">
        <v>0.71</v>
      </c>
      <c r="E86" s="164">
        <v>2.5</v>
      </c>
      <c r="F86" s="165">
        <f t="shared" si="17"/>
        <v>1.7749999999999999</v>
      </c>
      <c r="G86" s="149"/>
      <c r="H86" s="150"/>
      <c r="I86" s="151">
        <f t="shared" ref="I86" si="42">IFERROR(H86*(VLOOKUP(G86,$B$25:$F$32,5,0)),0)</f>
        <v>0</v>
      </c>
      <c r="J86" s="152"/>
      <c r="K86" s="150"/>
      <c r="L86" s="151">
        <f t="shared" si="18"/>
        <v>0</v>
      </c>
      <c r="M86" s="153">
        <f t="shared" si="19"/>
        <v>0</v>
      </c>
      <c r="N86" s="154">
        <f t="shared" si="20"/>
        <v>1.7749999999999999</v>
      </c>
      <c r="O86" s="155">
        <f t="shared" si="21"/>
        <v>1.7749999999999999</v>
      </c>
      <c r="P86" s="156" t="str">
        <f t="shared" si="22"/>
        <v/>
      </c>
      <c r="Q86" s="156" t="str">
        <f t="shared" si="23"/>
        <v/>
      </c>
      <c r="R86" s="157" t="str">
        <f t="shared" si="24"/>
        <v/>
      </c>
      <c r="S86" s="3" t="s">
        <v>111</v>
      </c>
      <c r="T86" s="9" t="s">
        <v>111</v>
      </c>
      <c r="U86" s="66"/>
    </row>
    <row r="87" spans="2:21" s="1" customFormat="1" ht="24.9" customHeight="1" x14ac:dyDescent="0.25">
      <c r="B87" s="210" t="s">
        <v>47</v>
      </c>
      <c r="C87" s="208">
        <v>0.15</v>
      </c>
      <c r="D87" s="208">
        <v>2</v>
      </c>
      <c r="E87" s="208">
        <v>3.1</v>
      </c>
      <c r="F87" s="211">
        <f t="shared" ref="F87" si="43">D87*E87</f>
        <v>6.2</v>
      </c>
      <c r="G87" s="125"/>
      <c r="H87" s="126"/>
      <c r="I87" s="127">
        <f t="shared" si="15"/>
        <v>0</v>
      </c>
      <c r="J87" s="128" t="s">
        <v>2</v>
      </c>
      <c r="K87" s="126">
        <v>1</v>
      </c>
      <c r="L87" s="127">
        <f t="shared" ref="L87" si="44">IFERROR(K87*(VLOOKUP(J87,$B$18:$F$21,5,0)),0)</f>
        <v>1.6800000000000002</v>
      </c>
      <c r="M87" s="129">
        <f t="shared" ref="M87" si="45">I87+L87</f>
        <v>1.6800000000000002</v>
      </c>
      <c r="N87" s="130">
        <f t="shared" ref="N87" si="46">F87-M87</f>
        <v>4.5199999999999996</v>
      </c>
      <c r="O87" s="131" t="str">
        <f t="shared" ref="O87" si="47">IF(M87&gt;0,"",IF(F87&lt;6,N87,""))</f>
        <v/>
      </c>
      <c r="P87" s="132" t="str">
        <f t="shared" ref="P87" si="48">IF(M87=0,"",IF(F87&lt;6,N87,""))</f>
        <v/>
      </c>
      <c r="Q87" s="132" t="str">
        <f t="shared" ref="Q87" si="49">IF(M87&gt;0,"",IF(F87&gt;=6,N87,""))</f>
        <v/>
      </c>
      <c r="R87" s="133">
        <f t="shared" ref="R87" si="50">IF(M87=0,"",IF(F87&gt;=6,N87,""))</f>
        <v>4.5199999999999996</v>
      </c>
      <c r="S87" s="3" t="s">
        <v>111</v>
      </c>
      <c r="T87" s="9"/>
      <c r="U87" s="66"/>
    </row>
    <row r="88" spans="2:21" s="1" customFormat="1" ht="15" customHeight="1" x14ac:dyDescent="0.25">
      <c r="B88" s="299" t="s">
        <v>48</v>
      </c>
      <c r="C88" s="301">
        <v>0.15</v>
      </c>
      <c r="D88" s="301">
        <f>5.85</f>
        <v>5.85</v>
      </c>
      <c r="E88" s="301">
        <v>2.5</v>
      </c>
      <c r="F88" s="303">
        <f t="shared" si="17"/>
        <v>14.625</v>
      </c>
      <c r="G88" s="114" t="s">
        <v>19</v>
      </c>
      <c r="H88" s="115">
        <v>1</v>
      </c>
      <c r="I88" s="116">
        <f t="shared" si="15"/>
        <v>2.0999999999999996</v>
      </c>
      <c r="J88" s="117"/>
      <c r="K88" s="115"/>
      <c r="L88" s="116">
        <f t="shared" si="18"/>
        <v>0</v>
      </c>
      <c r="M88" s="118">
        <f t="shared" si="19"/>
        <v>2.0999999999999996</v>
      </c>
      <c r="N88" s="319">
        <f>F88-(M88+M89)</f>
        <v>11.685</v>
      </c>
      <c r="O88" s="120" t="str">
        <f t="shared" si="21"/>
        <v/>
      </c>
      <c r="P88" s="121" t="str">
        <f t="shared" si="22"/>
        <v/>
      </c>
      <c r="Q88" s="121" t="str">
        <f t="shared" si="23"/>
        <v/>
      </c>
      <c r="R88" s="122">
        <f t="shared" si="24"/>
        <v>11.685</v>
      </c>
      <c r="S88" s="3"/>
      <c r="T88" s="66"/>
      <c r="U88" s="66"/>
    </row>
    <row r="89" spans="2:21" s="1" customFormat="1" ht="15" customHeight="1" x14ac:dyDescent="0.25">
      <c r="B89" s="300"/>
      <c r="C89" s="302"/>
      <c r="D89" s="302"/>
      <c r="E89" s="302"/>
      <c r="F89" s="304"/>
      <c r="G89" s="215" t="s">
        <v>3</v>
      </c>
      <c r="H89" s="216">
        <v>1</v>
      </c>
      <c r="I89" s="217">
        <f t="shared" si="15"/>
        <v>0.84</v>
      </c>
      <c r="J89" s="218"/>
      <c r="K89" s="216"/>
      <c r="L89" s="217">
        <f t="shared" si="18"/>
        <v>0</v>
      </c>
      <c r="M89" s="219">
        <f t="shared" si="19"/>
        <v>0.84</v>
      </c>
      <c r="N89" s="320"/>
      <c r="O89" s="220" t="str">
        <f t="shared" si="21"/>
        <v/>
      </c>
      <c r="P89" s="221">
        <f t="shared" si="22"/>
        <v>0</v>
      </c>
      <c r="Q89" s="221" t="str">
        <f t="shared" si="23"/>
        <v/>
      </c>
      <c r="R89" s="222" t="str">
        <f t="shared" si="24"/>
        <v/>
      </c>
      <c r="S89" s="3"/>
      <c r="T89" s="9"/>
      <c r="U89" s="66"/>
    </row>
    <row r="90" spans="2:21" s="1" customFormat="1" ht="15" customHeight="1" x14ac:dyDescent="0.25">
      <c r="B90" s="92" t="s">
        <v>48</v>
      </c>
      <c r="C90" s="164">
        <v>0.15</v>
      </c>
      <c r="D90" s="205">
        <f>1.88+1.2+0.71</f>
        <v>3.79</v>
      </c>
      <c r="E90" s="208">
        <v>2.5</v>
      </c>
      <c r="F90" s="87">
        <f t="shared" ref="F90" si="51">D90*E90</f>
        <v>9.4749999999999996</v>
      </c>
      <c r="G90" s="86"/>
      <c r="H90" s="80"/>
      <c r="I90" s="81">
        <f t="shared" ref="I90" si="52">IFERROR(H90*(VLOOKUP(G90,$B$25:$F$32,5,0)),0)</f>
        <v>0</v>
      </c>
      <c r="J90" s="223"/>
      <c r="K90" s="80"/>
      <c r="L90" s="81">
        <f t="shared" si="18"/>
        <v>0</v>
      </c>
      <c r="M90" s="84">
        <f t="shared" si="19"/>
        <v>0</v>
      </c>
      <c r="N90" s="224">
        <f t="shared" ref="N90" si="53">F90-M90</f>
        <v>9.4749999999999996</v>
      </c>
      <c r="O90" s="85" t="str">
        <f t="shared" si="21"/>
        <v/>
      </c>
      <c r="P90" s="82" t="str">
        <f t="shared" si="22"/>
        <v/>
      </c>
      <c r="Q90" s="82">
        <f t="shared" si="23"/>
        <v>9.4749999999999996</v>
      </c>
      <c r="R90" s="83" t="str">
        <f t="shared" si="24"/>
        <v/>
      </c>
      <c r="S90" s="3" t="s">
        <v>111</v>
      </c>
      <c r="T90" s="9" t="s">
        <v>111</v>
      </c>
      <c r="U90" s="66"/>
    </row>
    <row r="91" spans="2:21" s="1" customFormat="1" ht="24.9" customHeight="1" x14ac:dyDescent="0.25">
      <c r="B91" s="158" t="s">
        <v>49</v>
      </c>
      <c r="C91" s="135">
        <v>0.15</v>
      </c>
      <c r="D91" s="135">
        <v>2.9502000000000002</v>
      </c>
      <c r="E91" s="207">
        <v>2.5</v>
      </c>
      <c r="F91" s="136">
        <f t="shared" si="17"/>
        <v>7.3755000000000006</v>
      </c>
      <c r="G91" s="114" t="s">
        <v>4</v>
      </c>
      <c r="H91" s="115">
        <v>1</v>
      </c>
      <c r="I91" s="116">
        <f t="shared" si="15"/>
        <v>2.1</v>
      </c>
      <c r="J91" s="162" t="s">
        <v>2</v>
      </c>
      <c r="K91" s="162">
        <v>1</v>
      </c>
      <c r="L91" s="116">
        <f t="shared" si="18"/>
        <v>1.6800000000000002</v>
      </c>
      <c r="M91" s="118">
        <f t="shared" si="19"/>
        <v>3.7800000000000002</v>
      </c>
      <c r="N91" s="119">
        <f t="shared" si="20"/>
        <v>3.5955000000000004</v>
      </c>
      <c r="O91" s="120" t="str">
        <f t="shared" si="21"/>
        <v/>
      </c>
      <c r="P91" s="121" t="str">
        <f t="shared" si="22"/>
        <v/>
      </c>
      <c r="Q91" s="121" t="str">
        <f t="shared" si="23"/>
        <v/>
      </c>
      <c r="R91" s="122">
        <f t="shared" si="24"/>
        <v>3.5955000000000004</v>
      </c>
      <c r="S91" s="3"/>
      <c r="T91" s="9"/>
      <c r="U91" s="66"/>
    </row>
    <row r="92" spans="2:21" s="1" customFormat="1" ht="24.9" customHeight="1" x14ac:dyDescent="0.25">
      <c r="B92" s="159" t="s">
        <v>49</v>
      </c>
      <c r="C92" s="138">
        <v>0.15</v>
      </c>
      <c r="D92" s="138">
        <v>3</v>
      </c>
      <c r="E92" s="138">
        <v>3.1</v>
      </c>
      <c r="F92" s="139">
        <f t="shared" ref="F92" si="54">D92*E92</f>
        <v>9.3000000000000007</v>
      </c>
      <c r="G92" s="140"/>
      <c r="H92" s="141"/>
      <c r="I92" s="142">
        <f t="shared" si="15"/>
        <v>0</v>
      </c>
      <c r="J92" s="163" t="s">
        <v>2</v>
      </c>
      <c r="K92" s="163">
        <v>1</v>
      </c>
      <c r="L92" s="142">
        <f t="shared" ref="L92" si="55">IFERROR(K92*(VLOOKUP(J92,$B$18:$F$21,5,0)),0)</f>
        <v>1.6800000000000002</v>
      </c>
      <c r="M92" s="144">
        <f t="shared" ref="M92" si="56">I92+L92</f>
        <v>1.6800000000000002</v>
      </c>
      <c r="N92" s="145">
        <f t="shared" ref="N92" si="57">F92-M92</f>
        <v>7.620000000000001</v>
      </c>
      <c r="O92" s="146" t="str">
        <f t="shared" ref="O92" si="58">IF(M92&gt;0,"",IF(F92&lt;6,N92,""))</f>
        <v/>
      </c>
      <c r="P92" s="147" t="str">
        <f t="shared" ref="P92" si="59">IF(M92=0,"",IF(F92&lt;6,N92,""))</f>
        <v/>
      </c>
      <c r="Q92" s="147" t="str">
        <f t="shared" ref="Q92" si="60">IF(M92&gt;0,"",IF(F92&gt;=6,N92,""))</f>
        <v/>
      </c>
      <c r="R92" s="148">
        <f t="shared" ref="R92" si="61">IF(M92=0,"",IF(F92&gt;=6,N92,""))</f>
        <v>7.620000000000001</v>
      </c>
      <c r="S92" s="3" t="s">
        <v>111</v>
      </c>
      <c r="T92" s="9" t="s">
        <v>111</v>
      </c>
      <c r="U92" s="66"/>
    </row>
    <row r="93" spans="2:21" s="1" customFormat="1" ht="24.9" customHeight="1" x14ac:dyDescent="0.25">
      <c r="B93" s="166" t="s">
        <v>55</v>
      </c>
      <c r="C93" s="112">
        <v>0.15</v>
      </c>
      <c r="D93" s="112">
        <f>2.95</f>
        <v>2.95</v>
      </c>
      <c r="E93" s="78">
        <v>2.5</v>
      </c>
      <c r="F93" s="113">
        <f>D93*E93</f>
        <v>7.375</v>
      </c>
      <c r="G93" s="114" t="s">
        <v>17</v>
      </c>
      <c r="H93" s="167">
        <v>1</v>
      </c>
      <c r="I93" s="116">
        <f t="shared" si="15"/>
        <v>1.0499999999999998</v>
      </c>
      <c r="J93" s="228" t="s">
        <v>2</v>
      </c>
      <c r="K93" s="229">
        <v>1</v>
      </c>
      <c r="L93" s="116">
        <f>IFERROR(K93*(VLOOKUP(J93,$B$18:$F$21,5,0)),0)</f>
        <v>1.6800000000000002</v>
      </c>
      <c r="M93" s="118">
        <f>I93+L93</f>
        <v>2.73</v>
      </c>
      <c r="N93" s="119">
        <f>F93-M93</f>
        <v>4.6449999999999996</v>
      </c>
      <c r="O93" s="120" t="str">
        <f>IF(M93&gt;0,"",IF(F93&lt;6,N93,""))</f>
        <v/>
      </c>
      <c r="P93" s="121" t="str">
        <f>IF(M93=0,"",IF(F93&lt;6,N93,""))</f>
        <v/>
      </c>
      <c r="Q93" s="121" t="str">
        <f>IF(M93&gt;0,"",IF(F93&gt;=6,N93,""))</f>
        <v/>
      </c>
      <c r="R93" s="122">
        <f>IF(M93=0,"",IF(F93&gt;=6,N93,""))</f>
        <v>4.6449999999999996</v>
      </c>
      <c r="S93" s="60"/>
      <c r="T93" s="9"/>
      <c r="U93" s="9"/>
    </row>
    <row r="94" spans="2:21" s="1" customFormat="1" ht="24.9" customHeight="1" x14ac:dyDescent="0.25">
      <c r="B94" s="227" t="s">
        <v>55</v>
      </c>
      <c r="C94" s="164">
        <v>0.15</v>
      </c>
      <c r="D94" s="205">
        <v>3.32</v>
      </c>
      <c r="E94" s="78">
        <v>2.5</v>
      </c>
      <c r="F94" s="206">
        <f t="shared" si="17"/>
        <v>8.2999999999999989</v>
      </c>
      <c r="G94" s="86"/>
      <c r="H94" s="223"/>
      <c r="I94" s="81">
        <f t="shared" ref="I94:I95" si="62">IFERROR(H94*(VLOOKUP(G94,$B$25:$F$32,5,0)),0)</f>
        <v>0</v>
      </c>
      <c r="J94" s="79"/>
      <c r="K94" s="223"/>
      <c r="L94" s="81">
        <f t="shared" ref="L94:L95" si="63">IFERROR(K94*(VLOOKUP(J94,$B$18:$F$21,5,0)),0)</f>
        <v>0</v>
      </c>
      <c r="M94" s="84">
        <f t="shared" ref="M94:M95" si="64">I94+L94</f>
        <v>0</v>
      </c>
      <c r="N94" s="88">
        <f t="shared" ref="N94:N95" si="65">F94-M94</f>
        <v>8.2999999999999989</v>
      </c>
      <c r="O94" s="85" t="str">
        <f t="shared" ref="O94:O95" si="66">IF(M94&gt;0,"",IF(F94&lt;6,N94,""))</f>
        <v/>
      </c>
      <c r="P94" s="82" t="str">
        <f t="shared" ref="P94:P95" si="67">IF(M94=0,"",IF(F94&lt;6,N94,""))</f>
        <v/>
      </c>
      <c r="Q94" s="82">
        <f t="shared" ref="Q94:Q95" si="68">IF(M94&gt;0,"",IF(F94&gt;=6,N94,""))</f>
        <v>8.2999999999999989</v>
      </c>
      <c r="R94" s="83" t="str">
        <f t="shared" ref="R94:R95" si="69">IF(M94=0,"",IF(F94&gt;=6,N94,""))</f>
        <v/>
      </c>
      <c r="S94" s="60" t="s">
        <v>111</v>
      </c>
      <c r="T94" s="9"/>
      <c r="U94" s="9"/>
    </row>
    <row r="95" spans="2:21" s="1" customFormat="1" ht="24.9" customHeight="1" x14ac:dyDescent="0.25">
      <c r="B95" s="226" t="s">
        <v>55</v>
      </c>
      <c r="C95" s="164">
        <v>0.15</v>
      </c>
      <c r="D95" s="248">
        <v>3.32</v>
      </c>
      <c r="E95" s="164">
        <v>2.5</v>
      </c>
      <c r="F95" s="213">
        <f t="shared" si="17"/>
        <v>8.2999999999999989</v>
      </c>
      <c r="G95" s="149"/>
      <c r="H95" s="214"/>
      <c r="I95" s="151">
        <f t="shared" si="62"/>
        <v>0</v>
      </c>
      <c r="J95" s="152"/>
      <c r="K95" s="214"/>
      <c r="L95" s="151">
        <f t="shared" si="63"/>
        <v>0</v>
      </c>
      <c r="M95" s="153">
        <f t="shared" si="64"/>
        <v>0</v>
      </c>
      <c r="N95" s="154">
        <f t="shared" si="65"/>
        <v>8.2999999999999989</v>
      </c>
      <c r="O95" s="155" t="str">
        <f t="shared" si="66"/>
        <v/>
      </c>
      <c r="P95" s="156" t="str">
        <f t="shared" si="67"/>
        <v/>
      </c>
      <c r="Q95" s="156">
        <f t="shared" si="68"/>
        <v>8.2999999999999989</v>
      </c>
      <c r="R95" s="157" t="str">
        <f t="shared" si="69"/>
        <v/>
      </c>
      <c r="S95" s="60" t="s">
        <v>111</v>
      </c>
      <c r="T95" s="9"/>
      <c r="U95" s="9"/>
    </row>
    <row r="96" spans="2:21" s="1" customFormat="1" ht="24.9" customHeight="1" x14ac:dyDescent="0.25">
      <c r="B96" s="168" t="s">
        <v>55</v>
      </c>
      <c r="C96" s="123">
        <v>0.15</v>
      </c>
      <c r="D96" s="123">
        <v>3</v>
      </c>
      <c r="E96" s="123">
        <v>3.1</v>
      </c>
      <c r="F96" s="124">
        <f>D96*E96</f>
        <v>9.3000000000000007</v>
      </c>
      <c r="G96" s="125"/>
      <c r="H96" s="161"/>
      <c r="I96" s="127">
        <f t="shared" si="15"/>
        <v>0</v>
      </c>
      <c r="J96" s="128" t="s">
        <v>2</v>
      </c>
      <c r="K96" s="161">
        <v>1</v>
      </c>
      <c r="L96" s="127">
        <f>IFERROR(K96*(VLOOKUP(J96,$B$18:$F$21,5,0)),0)</f>
        <v>1.6800000000000002</v>
      </c>
      <c r="M96" s="129">
        <f>I96+L96</f>
        <v>1.6800000000000002</v>
      </c>
      <c r="N96" s="130">
        <f>F96-M96</f>
        <v>7.620000000000001</v>
      </c>
      <c r="O96" s="131" t="str">
        <f>IF(M96&gt;0,"",IF(F96&lt;6,N96,""))</f>
        <v/>
      </c>
      <c r="P96" s="132" t="str">
        <f>IF(M96=0,"",IF(F96&lt;6,N96,""))</f>
        <v/>
      </c>
      <c r="Q96" s="132" t="str">
        <f>IF(M96&gt;0,"",IF(F96&gt;=6,N96,""))</f>
        <v/>
      </c>
      <c r="R96" s="133">
        <f>IF(M96=0,"",IF(F96&gt;=6,N96,""))</f>
        <v>7.620000000000001</v>
      </c>
      <c r="S96" s="60" t="s">
        <v>111</v>
      </c>
      <c r="T96" s="9"/>
      <c r="U96" s="9"/>
    </row>
    <row r="97" spans="2:21" s="1" customFormat="1" ht="24.9" customHeight="1" x14ac:dyDescent="0.25">
      <c r="B97" s="227" t="s">
        <v>54</v>
      </c>
      <c r="C97" s="205">
        <v>0.15</v>
      </c>
      <c r="D97" s="205">
        <v>1.2</v>
      </c>
      <c r="E97" s="205">
        <v>2.5</v>
      </c>
      <c r="F97" s="206">
        <f t="shared" si="17"/>
        <v>3</v>
      </c>
      <c r="G97" s="86"/>
      <c r="H97" s="223"/>
      <c r="I97" s="81">
        <f t="shared" ref="I97:I100" si="70">IFERROR(H97*(VLOOKUP(G97,$B$25:$F$32,5,0)),0)</f>
        <v>0</v>
      </c>
      <c r="J97" s="79"/>
      <c r="K97" s="223"/>
      <c r="L97" s="81">
        <f t="shared" ref="L97:L100" si="71">IFERROR(K97*(VLOOKUP(J97,$B$18:$F$21,5,0)),0)</f>
        <v>0</v>
      </c>
      <c r="M97" s="84">
        <f t="shared" ref="M97:M100" si="72">I97+L97</f>
        <v>0</v>
      </c>
      <c r="N97" s="88">
        <f t="shared" ref="N97:N100" si="73">F97-M97</f>
        <v>3</v>
      </c>
      <c r="O97" s="85">
        <f t="shared" ref="O97:O100" si="74">IF(M97&gt;0,"",IF(F97&lt;6,N97,""))</f>
        <v>3</v>
      </c>
      <c r="P97" s="82" t="str">
        <f t="shared" ref="P97:P100" si="75">IF(M97=0,"",IF(F97&lt;6,N97,""))</f>
        <v/>
      </c>
      <c r="Q97" s="82" t="str">
        <f t="shared" ref="Q97:Q100" si="76">IF(M97&gt;0,"",IF(F97&gt;=6,N97,""))</f>
        <v/>
      </c>
      <c r="R97" s="83" t="str">
        <f t="shared" ref="R97:R100" si="77">IF(M97=0,"",IF(F97&gt;=6,N97,""))</f>
        <v/>
      </c>
      <c r="S97" s="60" t="s">
        <v>111</v>
      </c>
      <c r="T97" s="9"/>
      <c r="U97" s="9"/>
    </row>
    <row r="98" spans="2:21" s="1" customFormat="1" ht="24.9" customHeight="1" x14ac:dyDescent="0.25">
      <c r="B98" s="227" t="s">
        <v>54</v>
      </c>
      <c r="C98" s="205">
        <v>0.15</v>
      </c>
      <c r="D98" s="205">
        <v>1.2</v>
      </c>
      <c r="E98" s="205">
        <v>2.5</v>
      </c>
      <c r="F98" s="206">
        <f t="shared" si="17"/>
        <v>3</v>
      </c>
      <c r="G98" s="86"/>
      <c r="H98" s="223"/>
      <c r="I98" s="81">
        <f t="shared" si="70"/>
        <v>0</v>
      </c>
      <c r="J98" s="79"/>
      <c r="K98" s="223"/>
      <c r="L98" s="81">
        <f t="shared" si="71"/>
        <v>0</v>
      </c>
      <c r="M98" s="84">
        <f t="shared" si="72"/>
        <v>0</v>
      </c>
      <c r="N98" s="88">
        <f t="shared" si="73"/>
        <v>3</v>
      </c>
      <c r="O98" s="85">
        <f t="shared" si="74"/>
        <v>3</v>
      </c>
      <c r="P98" s="82" t="str">
        <f t="shared" si="75"/>
        <v/>
      </c>
      <c r="Q98" s="82" t="str">
        <f t="shared" si="76"/>
        <v/>
      </c>
      <c r="R98" s="83" t="str">
        <f t="shared" si="77"/>
        <v/>
      </c>
      <c r="S98" s="60" t="s">
        <v>111</v>
      </c>
      <c r="T98" s="9"/>
      <c r="U98" s="9"/>
    </row>
    <row r="99" spans="2:21" s="1" customFormat="1" ht="24.9" customHeight="1" x14ac:dyDescent="0.25">
      <c r="B99" s="227" t="s">
        <v>54</v>
      </c>
      <c r="C99" s="205">
        <v>0.15</v>
      </c>
      <c r="D99" s="205">
        <v>0.71</v>
      </c>
      <c r="E99" s="205">
        <v>2.5</v>
      </c>
      <c r="F99" s="206">
        <f t="shared" si="17"/>
        <v>1.7749999999999999</v>
      </c>
      <c r="G99" s="86"/>
      <c r="H99" s="223"/>
      <c r="I99" s="81">
        <f t="shared" si="70"/>
        <v>0</v>
      </c>
      <c r="J99" s="79"/>
      <c r="K99" s="223"/>
      <c r="L99" s="81">
        <f t="shared" si="71"/>
        <v>0</v>
      </c>
      <c r="M99" s="84">
        <f t="shared" si="72"/>
        <v>0</v>
      </c>
      <c r="N99" s="88">
        <f t="shared" si="73"/>
        <v>1.7749999999999999</v>
      </c>
      <c r="O99" s="85">
        <f t="shared" si="74"/>
        <v>1.7749999999999999</v>
      </c>
      <c r="P99" s="82" t="str">
        <f t="shared" si="75"/>
        <v/>
      </c>
      <c r="Q99" s="82" t="str">
        <f t="shared" si="76"/>
        <v/>
      </c>
      <c r="R99" s="83" t="str">
        <f t="shared" si="77"/>
        <v/>
      </c>
      <c r="S99" s="60" t="s">
        <v>111</v>
      </c>
      <c r="T99" s="9"/>
      <c r="U99" s="9"/>
    </row>
    <row r="100" spans="2:21" s="1" customFormat="1" ht="24.9" customHeight="1" x14ac:dyDescent="0.25">
      <c r="B100" s="168" t="s">
        <v>54</v>
      </c>
      <c r="C100" s="123">
        <v>0.15</v>
      </c>
      <c r="D100" s="123">
        <v>0.71</v>
      </c>
      <c r="E100" s="123">
        <v>2.5</v>
      </c>
      <c r="F100" s="124">
        <f t="shared" si="17"/>
        <v>1.7749999999999999</v>
      </c>
      <c r="G100" s="125"/>
      <c r="H100" s="161"/>
      <c r="I100" s="127">
        <f t="shared" si="70"/>
        <v>0</v>
      </c>
      <c r="J100" s="128"/>
      <c r="K100" s="161"/>
      <c r="L100" s="127">
        <f t="shared" si="71"/>
        <v>0</v>
      </c>
      <c r="M100" s="129">
        <f t="shared" si="72"/>
        <v>0</v>
      </c>
      <c r="N100" s="130">
        <f t="shared" si="73"/>
        <v>1.7749999999999999</v>
      </c>
      <c r="O100" s="131">
        <f t="shared" si="74"/>
        <v>1.7749999999999999</v>
      </c>
      <c r="P100" s="132" t="str">
        <f t="shared" si="75"/>
        <v/>
      </c>
      <c r="Q100" s="132" t="str">
        <f t="shared" si="76"/>
        <v/>
      </c>
      <c r="R100" s="133" t="str">
        <f t="shared" si="77"/>
        <v/>
      </c>
      <c r="S100" s="60" t="s">
        <v>111</v>
      </c>
      <c r="T100" s="9"/>
      <c r="U100" s="9"/>
    </row>
    <row r="101" spans="2:21" s="1" customFormat="1" ht="24.9" customHeight="1" x14ac:dyDescent="0.25">
      <c r="B101" s="245" t="s">
        <v>51</v>
      </c>
      <c r="C101" s="164">
        <v>0.15</v>
      </c>
      <c r="D101" s="164">
        <f>4.36</f>
        <v>4.3600000000000003</v>
      </c>
      <c r="E101" s="212">
        <v>2.5</v>
      </c>
      <c r="F101" s="165">
        <f t="shared" si="17"/>
        <v>10.9</v>
      </c>
      <c r="G101" s="149" t="s">
        <v>71</v>
      </c>
      <c r="H101" s="150">
        <v>2</v>
      </c>
      <c r="I101" s="151">
        <f t="shared" si="15"/>
        <v>1.68</v>
      </c>
      <c r="J101" s="152" t="s">
        <v>2</v>
      </c>
      <c r="K101" s="150">
        <v>1</v>
      </c>
      <c r="L101" s="151">
        <f t="shared" si="18"/>
        <v>1.6800000000000002</v>
      </c>
      <c r="M101" s="153">
        <f t="shared" si="19"/>
        <v>3.3600000000000003</v>
      </c>
      <c r="N101" s="154">
        <f t="shared" si="20"/>
        <v>7.54</v>
      </c>
      <c r="O101" s="155" t="str">
        <f t="shared" si="21"/>
        <v/>
      </c>
      <c r="P101" s="156" t="str">
        <f t="shared" si="22"/>
        <v/>
      </c>
      <c r="Q101" s="156" t="str">
        <f t="shared" si="23"/>
        <v/>
      </c>
      <c r="R101" s="157">
        <f t="shared" si="24"/>
        <v>7.54</v>
      </c>
      <c r="S101" s="3" t="s">
        <v>111</v>
      </c>
      <c r="T101" s="9"/>
      <c r="U101" s="9"/>
    </row>
    <row r="102" spans="2:21" s="1" customFormat="1" ht="24.9" customHeight="1" x14ac:dyDescent="0.25">
      <c r="B102" s="227" t="s">
        <v>51</v>
      </c>
      <c r="C102" s="205">
        <v>0.15</v>
      </c>
      <c r="D102" s="205">
        <v>3.26</v>
      </c>
      <c r="E102" s="205">
        <v>2.5</v>
      </c>
      <c r="F102" s="206">
        <f t="shared" si="17"/>
        <v>8.1499999999999986</v>
      </c>
      <c r="G102" s="86"/>
      <c r="H102" s="223"/>
      <c r="I102" s="81">
        <f t="shared" ref="I102" si="78">IFERROR(H102*(VLOOKUP(G102,$B$25:$F$32,5,0)),0)</f>
        <v>0</v>
      </c>
      <c r="J102" s="79"/>
      <c r="K102" s="223"/>
      <c r="L102" s="81">
        <f t="shared" ref="L102" si="79">IFERROR(K102*(VLOOKUP(J102,$B$18:$F$21,5,0)),0)</f>
        <v>0</v>
      </c>
      <c r="M102" s="84">
        <f t="shared" ref="M102" si="80">I102+L102</f>
        <v>0</v>
      </c>
      <c r="N102" s="88">
        <f t="shared" ref="N102" si="81">F102-M102</f>
        <v>8.1499999999999986</v>
      </c>
      <c r="O102" s="85" t="str">
        <f t="shared" ref="O102" si="82">IF(M102&gt;0,"",IF(F102&lt;6,N102,""))</f>
        <v/>
      </c>
      <c r="P102" s="82" t="str">
        <f t="shared" ref="P102" si="83">IF(M102=0,"",IF(F102&lt;6,N102,""))</f>
        <v/>
      </c>
      <c r="Q102" s="82">
        <f t="shared" ref="Q102" si="84">IF(M102&gt;0,"",IF(F102&gt;=6,N102,""))</f>
        <v>8.1499999999999986</v>
      </c>
      <c r="R102" s="83" t="str">
        <f t="shared" ref="R102" si="85">IF(M102=0,"",IF(F102&gt;=6,N102,""))</f>
        <v/>
      </c>
      <c r="S102" s="3" t="s">
        <v>111</v>
      </c>
      <c r="T102" s="9"/>
      <c r="U102" s="9"/>
    </row>
    <row r="103" spans="2:21" s="1" customFormat="1" ht="24.9" customHeight="1" x14ac:dyDescent="0.25">
      <c r="B103" s="227" t="s">
        <v>51</v>
      </c>
      <c r="C103" s="205">
        <v>0.15</v>
      </c>
      <c r="D103" s="205">
        <v>1.1499999999999999</v>
      </c>
      <c r="E103" s="205">
        <v>2.5</v>
      </c>
      <c r="F103" s="206">
        <f t="shared" ref="F103:F104" si="86">D103*E103</f>
        <v>2.875</v>
      </c>
      <c r="G103" s="86"/>
      <c r="H103" s="223"/>
      <c r="I103" s="81">
        <f t="shared" si="15"/>
        <v>0</v>
      </c>
      <c r="J103" s="79"/>
      <c r="K103" s="223"/>
      <c r="L103" s="81">
        <f t="shared" si="18"/>
        <v>0</v>
      </c>
      <c r="M103" s="84">
        <f t="shared" si="19"/>
        <v>0</v>
      </c>
      <c r="N103" s="88">
        <f t="shared" si="20"/>
        <v>2.875</v>
      </c>
      <c r="O103" s="85">
        <f t="shared" si="21"/>
        <v>2.875</v>
      </c>
      <c r="P103" s="82" t="str">
        <f t="shared" si="22"/>
        <v/>
      </c>
      <c r="Q103" s="82" t="str">
        <f t="shared" si="23"/>
        <v/>
      </c>
      <c r="R103" s="83" t="str">
        <f t="shared" si="24"/>
        <v/>
      </c>
      <c r="S103" s="3" t="s">
        <v>111</v>
      </c>
      <c r="T103" s="9"/>
      <c r="U103" s="9"/>
    </row>
    <row r="104" spans="2:21" s="1" customFormat="1" ht="24.9" customHeight="1" x14ac:dyDescent="0.25">
      <c r="B104" s="245" t="s">
        <v>51</v>
      </c>
      <c r="C104" s="123">
        <v>0.15</v>
      </c>
      <c r="D104" s="123">
        <v>0.71</v>
      </c>
      <c r="E104" s="123">
        <v>2.5</v>
      </c>
      <c r="F104" s="124">
        <f t="shared" si="86"/>
        <v>1.7749999999999999</v>
      </c>
      <c r="G104" s="125"/>
      <c r="H104" s="161"/>
      <c r="I104" s="127">
        <f t="shared" si="15"/>
        <v>0</v>
      </c>
      <c r="J104" s="128"/>
      <c r="K104" s="161"/>
      <c r="L104" s="127">
        <f t="shared" si="18"/>
        <v>0</v>
      </c>
      <c r="M104" s="129">
        <f t="shared" si="19"/>
        <v>0</v>
      </c>
      <c r="N104" s="130">
        <f t="shared" si="20"/>
        <v>1.7749999999999999</v>
      </c>
      <c r="O104" s="131">
        <f t="shared" si="21"/>
        <v>1.7749999999999999</v>
      </c>
      <c r="P104" s="132" t="str">
        <f t="shared" si="22"/>
        <v/>
      </c>
      <c r="Q104" s="132" t="str">
        <f t="shared" si="23"/>
        <v/>
      </c>
      <c r="R104" s="133" t="str">
        <f t="shared" si="24"/>
        <v/>
      </c>
      <c r="S104" s="3" t="s">
        <v>111</v>
      </c>
      <c r="T104" s="9"/>
      <c r="U104" s="9"/>
    </row>
    <row r="105" spans="2:21" s="1" customFormat="1" ht="24.9" customHeight="1" x14ac:dyDescent="0.25">
      <c r="B105" s="257" t="s">
        <v>92</v>
      </c>
      <c r="C105" s="182">
        <v>0.15</v>
      </c>
      <c r="D105" s="171">
        <v>0.8</v>
      </c>
      <c r="E105" s="171">
        <v>2.1</v>
      </c>
      <c r="F105" s="172">
        <f t="shared" si="17"/>
        <v>1.6800000000000002</v>
      </c>
      <c r="G105" s="173"/>
      <c r="H105" s="174"/>
      <c r="I105" s="175">
        <f t="shared" si="15"/>
        <v>0</v>
      </c>
      <c r="J105" s="176"/>
      <c r="K105" s="174"/>
      <c r="L105" s="175">
        <f t="shared" si="18"/>
        <v>0</v>
      </c>
      <c r="M105" s="177">
        <f t="shared" si="19"/>
        <v>0</v>
      </c>
      <c r="N105" s="178">
        <f t="shared" si="20"/>
        <v>1.6800000000000002</v>
      </c>
      <c r="O105" s="179">
        <f t="shared" si="21"/>
        <v>1.6800000000000002</v>
      </c>
      <c r="P105" s="180" t="str">
        <f t="shared" si="22"/>
        <v/>
      </c>
      <c r="Q105" s="180" t="str">
        <f t="shared" si="23"/>
        <v/>
      </c>
      <c r="R105" s="181" t="str">
        <f t="shared" si="24"/>
        <v/>
      </c>
      <c r="S105" s="3"/>
      <c r="T105" s="9"/>
      <c r="U105" s="9"/>
    </row>
    <row r="106" spans="2:21" s="1" customFormat="1" ht="30" customHeight="1" x14ac:dyDescent="0.25">
      <c r="B106" s="197" t="s">
        <v>82</v>
      </c>
      <c r="C106" s="198">
        <v>0.15</v>
      </c>
      <c r="D106" s="247">
        <v>1.5</v>
      </c>
      <c r="E106" s="198">
        <v>0.5</v>
      </c>
      <c r="F106" s="199">
        <f>D106*E106</f>
        <v>0.75</v>
      </c>
      <c r="G106" s="231"/>
      <c r="H106" s="232"/>
      <c r="I106" s="233">
        <f t="shared" si="15"/>
        <v>0</v>
      </c>
      <c r="J106" s="229"/>
      <c r="K106" s="232"/>
      <c r="L106" s="233">
        <f t="shared" si="18"/>
        <v>0</v>
      </c>
      <c r="M106" s="234">
        <f t="shared" si="19"/>
        <v>0</v>
      </c>
      <c r="N106" s="235">
        <f t="shared" si="20"/>
        <v>0.75</v>
      </c>
      <c r="O106" s="236">
        <f t="shared" si="21"/>
        <v>0.75</v>
      </c>
      <c r="P106" s="237" t="str">
        <f t="shared" si="22"/>
        <v/>
      </c>
      <c r="Q106" s="237" t="str">
        <f t="shared" si="23"/>
        <v/>
      </c>
      <c r="R106" s="238" t="str">
        <f t="shared" si="24"/>
        <v/>
      </c>
      <c r="S106" s="3" t="s">
        <v>111</v>
      </c>
      <c r="T106" s="9"/>
      <c r="U106" s="9"/>
    </row>
    <row r="107" spans="2:21" s="1" customFormat="1" ht="30" customHeight="1" x14ac:dyDescent="0.25">
      <c r="B107" s="92" t="s">
        <v>82</v>
      </c>
      <c r="C107" s="205">
        <v>0.15</v>
      </c>
      <c r="D107" s="205">
        <v>1.5</v>
      </c>
      <c r="E107" s="205">
        <v>0.5</v>
      </c>
      <c r="F107" s="206">
        <f t="shared" ref="F107:F109" si="87">D107*E107</f>
        <v>0.75</v>
      </c>
      <c r="G107" s="239"/>
      <c r="H107" s="80"/>
      <c r="I107" s="81">
        <f t="shared" si="15"/>
        <v>0</v>
      </c>
      <c r="J107" s="223"/>
      <c r="K107" s="80"/>
      <c r="L107" s="81">
        <f t="shared" si="18"/>
        <v>0</v>
      </c>
      <c r="M107" s="84">
        <f t="shared" ref="M107:M114" si="88">I107+L107</f>
        <v>0</v>
      </c>
      <c r="N107" s="88">
        <f t="shared" ref="N107:N114" si="89">F107-M107</f>
        <v>0.75</v>
      </c>
      <c r="O107" s="85">
        <f t="shared" ref="O107:O114" si="90">IF(M107&gt;0,"",IF(F107&lt;6,N107,""))</f>
        <v>0.75</v>
      </c>
      <c r="P107" s="82" t="str">
        <f t="shared" ref="P107:P114" si="91">IF(M107=0,"",IF(F107&lt;6,N107,""))</f>
        <v/>
      </c>
      <c r="Q107" s="82" t="str">
        <f t="shared" ref="Q107:Q114" si="92">IF(M107&gt;0,"",IF(F107&gt;=6,N107,""))</f>
        <v/>
      </c>
      <c r="R107" s="83" t="str">
        <f t="shared" ref="R107:R114" si="93">IF(M107=0,"",IF(F107&gt;=6,N107,""))</f>
        <v/>
      </c>
      <c r="S107" s="3" t="s">
        <v>111</v>
      </c>
      <c r="T107" s="9"/>
      <c r="U107" s="9"/>
    </row>
    <row r="108" spans="2:21" s="1" customFormat="1" ht="30" customHeight="1" x14ac:dyDescent="0.25">
      <c r="B108" s="92" t="s">
        <v>82</v>
      </c>
      <c r="C108" s="205">
        <v>0.15</v>
      </c>
      <c r="D108" s="205">
        <v>1.5</v>
      </c>
      <c r="E108" s="205">
        <v>0.5</v>
      </c>
      <c r="F108" s="206">
        <f t="shared" si="87"/>
        <v>0.75</v>
      </c>
      <c r="G108" s="239"/>
      <c r="H108" s="80"/>
      <c r="I108" s="81">
        <f t="shared" ref="I108:I114" si="94">IFERROR(H108*(VLOOKUP(G108,$B$25:$F$32,5,0)),0)</f>
        <v>0</v>
      </c>
      <c r="J108" s="223"/>
      <c r="K108" s="80"/>
      <c r="L108" s="81">
        <f t="shared" ref="L108:L114" si="95">IFERROR(K108*(VLOOKUP(J108,$B$18:$F$21,5,0)),0)</f>
        <v>0</v>
      </c>
      <c r="M108" s="84">
        <f t="shared" si="88"/>
        <v>0</v>
      </c>
      <c r="N108" s="88">
        <f t="shared" si="89"/>
        <v>0.75</v>
      </c>
      <c r="O108" s="85">
        <f t="shared" si="90"/>
        <v>0.75</v>
      </c>
      <c r="P108" s="82" t="str">
        <f t="shared" si="91"/>
        <v/>
      </c>
      <c r="Q108" s="82" t="str">
        <f t="shared" si="92"/>
        <v/>
      </c>
      <c r="R108" s="83" t="str">
        <f t="shared" si="93"/>
        <v/>
      </c>
      <c r="S108" s="3" t="s">
        <v>111</v>
      </c>
      <c r="T108" s="9"/>
      <c r="U108" s="9"/>
    </row>
    <row r="109" spans="2:21" s="1" customFormat="1" ht="30" customHeight="1" x14ac:dyDescent="0.25">
      <c r="B109" s="92" t="s">
        <v>82</v>
      </c>
      <c r="C109" s="205">
        <v>0.15</v>
      </c>
      <c r="D109" s="205">
        <v>1.5</v>
      </c>
      <c r="E109" s="205">
        <v>0.5</v>
      </c>
      <c r="F109" s="206">
        <f t="shared" si="87"/>
        <v>0.75</v>
      </c>
      <c r="G109" s="239"/>
      <c r="H109" s="80"/>
      <c r="I109" s="81">
        <f t="shared" si="94"/>
        <v>0</v>
      </c>
      <c r="J109" s="223"/>
      <c r="K109" s="80"/>
      <c r="L109" s="81">
        <f t="shared" si="95"/>
        <v>0</v>
      </c>
      <c r="M109" s="84">
        <f t="shared" si="88"/>
        <v>0</v>
      </c>
      <c r="N109" s="88">
        <f t="shared" si="89"/>
        <v>0.75</v>
      </c>
      <c r="O109" s="85">
        <f t="shared" si="90"/>
        <v>0.75</v>
      </c>
      <c r="P109" s="82" t="str">
        <f t="shared" si="91"/>
        <v/>
      </c>
      <c r="Q109" s="82" t="str">
        <f t="shared" si="92"/>
        <v/>
      </c>
      <c r="R109" s="83" t="str">
        <f t="shared" si="93"/>
        <v/>
      </c>
      <c r="S109" s="3" t="s">
        <v>111</v>
      </c>
      <c r="T109" s="9"/>
      <c r="U109" s="9"/>
    </row>
    <row r="110" spans="2:21" s="1" customFormat="1" ht="30" customHeight="1" x14ac:dyDescent="0.25">
      <c r="B110" s="92" t="s">
        <v>82</v>
      </c>
      <c r="C110" s="205">
        <v>0.15</v>
      </c>
      <c r="D110" s="205"/>
      <c r="E110" s="205"/>
      <c r="F110" s="206">
        <v>0.27</v>
      </c>
      <c r="G110" s="239"/>
      <c r="H110" s="80"/>
      <c r="I110" s="81">
        <f t="shared" si="94"/>
        <v>0</v>
      </c>
      <c r="J110" s="223"/>
      <c r="K110" s="80"/>
      <c r="L110" s="81">
        <f t="shared" si="95"/>
        <v>0</v>
      </c>
      <c r="M110" s="84">
        <f t="shared" si="88"/>
        <v>0</v>
      </c>
      <c r="N110" s="88">
        <f t="shared" si="89"/>
        <v>0.27</v>
      </c>
      <c r="O110" s="85">
        <f t="shared" si="90"/>
        <v>0.27</v>
      </c>
      <c r="P110" s="82" t="str">
        <f t="shared" si="91"/>
        <v/>
      </c>
      <c r="Q110" s="82" t="str">
        <f t="shared" si="92"/>
        <v/>
      </c>
      <c r="R110" s="83" t="str">
        <f t="shared" si="93"/>
        <v/>
      </c>
      <c r="S110" s="3" t="s">
        <v>111</v>
      </c>
      <c r="T110" s="9"/>
      <c r="U110" s="9"/>
    </row>
    <row r="111" spans="2:21" s="1" customFormat="1" ht="30" customHeight="1" x14ac:dyDescent="0.25">
      <c r="B111" s="92" t="s">
        <v>82</v>
      </c>
      <c r="C111" s="205">
        <v>0.15</v>
      </c>
      <c r="D111" s="205"/>
      <c r="E111" s="205"/>
      <c r="F111" s="206">
        <v>0.28000000000000003</v>
      </c>
      <c r="G111" s="239"/>
      <c r="H111" s="80"/>
      <c r="I111" s="81">
        <f t="shared" si="94"/>
        <v>0</v>
      </c>
      <c r="J111" s="223"/>
      <c r="K111" s="80"/>
      <c r="L111" s="81">
        <f t="shared" si="95"/>
        <v>0</v>
      </c>
      <c r="M111" s="84">
        <f t="shared" si="88"/>
        <v>0</v>
      </c>
      <c r="N111" s="88">
        <f t="shared" si="89"/>
        <v>0.28000000000000003</v>
      </c>
      <c r="O111" s="85">
        <f t="shared" si="90"/>
        <v>0.28000000000000003</v>
      </c>
      <c r="P111" s="82" t="str">
        <f t="shared" si="91"/>
        <v/>
      </c>
      <c r="Q111" s="82" t="str">
        <f t="shared" si="92"/>
        <v/>
      </c>
      <c r="R111" s="83" t="str">
        <f t="shared" si="93"/>
        <v/>
      </c>
      <c r="S111" s="3" t="s">
        <v>111</v>
      </c>
      <c r="T111" s="9"/>
      <c r="U111" s="9"/>
    </row>
    <row r="112" spans="2:21" s="1" customFormat="1" ht="30" customHeight="1" x14ac:dyDescent="0.25">
      <c r="B112" s="92" t="s">
        <v>82</v>
      </c>
      <c r="C112" s="205">
        <v>0.15</v>
      </c>
      <c r="D112" s="205"/>
      <c r="E112" s="205"/>
      <c r="F112" s="206">
        <v>0.64</v>
      </c>
      <c r="G112" s="239"/>
      <c r="H112" s="80"/>
      <c r="I112" s="81">
        <f t="shared" si="94"/>
        <v>0</v>
      </c>
      <c r="J112" s="223"/>
      <c r="K112" s="80"/>
      <c r="L112" s="81">
        <f t="shared" si="95"/>
        <v>0</v>
      </c>
      <c r="M112" s="84">
        <f t="shared" si="88"/>
        <v>0</v>
      </c>
      <c r="N112" s="88">
        <f t="shared" si="89"/>
        <v>0.64</v>
      </c>
      <c r="O112" s="85">
        <f t="shared" si="90"/>
        <v>0.64</v>
      </c>
      <c r="P112" s="82" t="str">
        <f t="shared" si="91"/>
        <v/>
      </c>
      <c r="Q112" s="82" t="str">
        <f t="shared" si="92"/>
        <v/>
      </c>
      <c r="R112" s="83" t="str">
        <f t="shared" si="93"/>
        <v/>
      </c>
      <c r="S112" s="3" t="s">
        <v>111</v>
      </c>
      <c r="T112" s="9"/>
      <c r="U112" s="9"/>
    </row>
    <row r="113" spans="1:21" s="1" customFormat="1" ht="30" customHeight="1" x14ac:dyDescent="0.25">
      <c r="B113" s="92" t="s">
        <v>82</v>
      </c>
      <c r="C113" s="205">
        <v>0.15</v>
      </c>
      <c r="D113" s="205"/>
      <c r="E113" s="205"/>
      <c r="F113" s="206">
        <v>0.67</v>
      </c>
      <c r="G113" s="239"/>
      <c r="H113" s="80"/>
      <c r="I113" s="81">
        <f t="shared" si="94"/>
        <v>0</v>
      </c>
      <c r="J113" s="223"/>
      <c r="K113" s="80"/>
      <c r="L113" s="81">
        <f t="shared" si="95"/>
        <v>0</v>
      </c>
      <c r="M113" s="84">
        <f t="shared" si="88"/>
        <v>0</v>
      </c>
      <c r="N113" s="88">
        <f t="shared" si="89"/>
        <v>0.67</v>
      </c>
      <c r="O113" s="85">
        <f t="shared" si="90"/>
        <v>0.67</v>
      </c>
      <c r="P113" s="82" t="str">
        <f t="shared" si="91"/>
        <v/>
      </c>
      <c r="Q113" s="82" t="str">
        <f t="shared" si="92"/>
        <v/>
      </c>
      <c r="R113" s="83" t="str">
        <f t="shared" si="93"/>
        <v/>
      </c>
      <c r="S113" s="3" t="s">
        <v>111</v>
      </c>
      <c r="T113" s="9"/>
      <c r="U113" s="9"/>
    </row>
    <row r="114" spans="1:21" s="1" customFormat="1" ht="30" customHeight="1" x14ac:dyDescent="0.25">
      <c r="B114" s="210" t="s">
        <v>82</v>
      </c>
      <c r="C114" s="123">
        <v>0.15</v>
      </c>
      <c r="D114" s="123"/>
      <c r="E114" s="123"/>
      <c r="F114" s="124">
        <v>0.65</v>
      </c>
      <c r="G114" s="230"/>
      <c r="H114" s="126"/>
      <c r="I114" s="127">
        <f t="shared" si="94"/>
        <v>0</v>
      </c>
      <c r="J114" s="161"/>
      <c r="K114" s="126"/>
      <c r="L114" s="127">
        <f t="shared" si="95"/>
        <v>0</v>
      </c>
      <c r="M114" s="129">
        <f t="shared" si="88"/>
        <v>0</v>
      </c>
      <c r="N114" s="130">
        <f t="shared" si="89"/>
        <v>0.65</v>
      </c>
      <c r="O114" s="131">
        <f t="shared" si="90"/>
        <v>0.65</v>
      </c>
      <c r="P114" s="132" t="str">
        <f t="shared" si="91"/>
        <v/>
      </c>
      <c r="Q114" s="132" t="str">
        <f t="shared" si="92"/>
        <v/>
      </c>
      <c r="R114" s="133" t="str">
        <f t="shared" si="93"/>
        <v/>
      </c>
      <c r="S114" s="3" t="s">
        <v>111</v>
      </c>
      <c r="T114" s="9"/>
      <c r="U114" s="9"/>
    </row>
    <row r="115" spans="1:21" s="1" customFormat="1" ht="30" customHeight="1" thickBot="1" x14ac:dyDescent="0.3">
      <c r="B115" s="160"/>
      <c r="C115" s="93"/>
      <c r="D115" s="93"/>
      <c r="E115" s="93"/>
      <c r="F115" s="94"/>
      <c r="G115" s="169"/>
      <c r="H115" s="170"/>
      <c r="I115" s="95">
        <f t="shared" si="15"/>
        <v>0</v>
      </c>
      <c r="J115" s="170"/>
      <c r="K115" s="170"/>
      <c r="L115" s="95">
        <f t="shared" si="18"/>
        <v>0</v>
      </c>
      <c r="M115" s="96">
        <f t="shared" si="19"/>
        <v>0</v>
      </c>
      <c r="N115" s="97">
        <f t="shared" si="20"/>
        <v>0</v>
      </c>
      <c r="O115" s="98">
        <f t="shared" si="21"/>
        <v>0</v>
      </c>
      <c r="P115" s="99" t="str">
        <f t="shared" si="22"/>
        <v/>
      </c>
      <c r="Q115" s="99" t="str">
        <f t="shared" si="23"/>
        <v/>
      </c>
      <c r="R115" s="100" t="str">
        <f t="shared" si="24"/>
        <v/>
      </c>
      <c r="S115" s="60"/>
      <c r="T115" s="9"/>
      <c r="U115" s="9"/>
    </row>
    <row r="116" spans="1:21" ht="15" customHeight="1" thickBot="1" x14ac:dyDescent="0.3">
      <c r="A116" s="1"/>
      <c r="B116" s="291" t="s">
        <v>1</v>
      </c>
      <c r="C116" s="292"/>
      <c r="D116" s="61">
        <f>SUMIF(E76:E109,"=2,50",D76:D109)</f>
        <v>46.558199999999999</v>
      </c>
      <c r="E116" s="61"/>
      <c r="F116" s="61">
        <f>SUM(F76:F115)</f>
        <v>179.37000000000003</v>
      </c>
      <c r="G116" s="282"/>
      <c r="H116" s="283"/>
      <c r="I116" s="283"/>
      <c r="J116" s="283"/>
      <c r="K116" s="283"/>
      <c r="L116" s="284"/>
      <c r="M116" s="68"/>
      <c r="N116" s="68"/>
      <c r="O116" s="62">
        <f>SUM(O76:O115)</f>
        <v>28.265000000000001</v>
      </c>
      <c r="P116" s="62">
        <f>SUM(P76:P115)</f>
        <v>3.2549999999999999</v>
      </c>
      <c r="Q116" s="62">
        <f>SUM(Q76:Q115)</f>
        <v>59.102499999999992</v>
      </c>
      <c r="R116" s="62">
        <f>SUM(R76:R115)</f>
        <v>61.657500000000006</v>
      </c>
      <c r="S116" s="3">
        <f>SUMIF(S76:S114,"OK",$P$76:$P$114)+SUMIF(S76:S114,"OK",$Q$76:$Q$114)+SUMIF(S76:S114,"OK",$R$76:$R$114)+SUMIF(S76:S114,"OK",$O$76:$O$114)</f>
        <v>130.67449999999999</v>
      </c>
      <c r="T116" s="3">
        <f>SUMIF(T76:T114,"OK",$D$76:$D$114)</f>
        <v>24.693000000000001</v>
      </c>
      <c r="U116" s="32"/>
    </row>
    <row r="117" spans="1:21" ht="15" customHeight="1" x14ac:dyDescent="0.25">
      <c r="B117" s="7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3"/>
    </row>
    <row r="118" spans="1:21" ht="9.9" customHeight="1" thickBot="1" x14ac:dyDescent="0.3">
      <c r="S118" s="2"/>
    </row>
    <row r="119" spans="1:21" ht="30" customHeight="1" x14ac:dyDescent="0.25">
      <c r="B119" s="280" t="s">
        <v>58</v>
      </c>
      <c r="C119" s="281"/>
      <c r="D119" s="281"/>
      <c r="E119" s="69">
        <f>O116</f>
        <v>28.265000000000001</v>
      </c>
      <c r="F119" s="70" t="s">
        <v>0</v>
      </c>
      <c r="L119" s="64"/>
      <c r="M119" s="64"/>
      <c r="N119" s="64"/>
      <c r="O119" s="64"/>
      <c r="P119" s="64"/>
      <c r="Q119" s="64"/>
      <c r="R119" s="64"/>
      <c r="S119" s="2"/>
    </row>
    <row r="120" spans="1:21" ht="30" customHeight="1" x14ac:dyDescent="0.25">
      <c r="B120" s="307" t="s">
        <v>59</v>
      </c>
      <c r="C120" s="308"/>
      <c r="D120" s="308"/>
      <c r="E120" s="71">
        <f>P116</f>
        <v>3.2549999999999999</v>
      </c>
      <c r="F120" s="72" t="s">
        <v>0</v>
      </c>
      <c r="L120" s="64"/>
      <c r="M120" s="64"/>
      <c r="N120" s="64"/>
      <c r="O120" s="64"/>
      <c r="P120" s="64"/>
      <c r="Q120" s="64"/>
      <c r="R120" s="64"/>
      <c r="S120" s="2"/>
    </row>
    <row r="121" spans="1:21" ht="30" customHeight="1" x14ac:dyDescent="0.25">
      <c r="B121" s="307" t="s">
        <v>60</v>
      </c>
      <c r="C121" s="308"/>
      <c r="D121" s="308"/>
      <c r="E121" s="71">
        <f>Q116</f>
        <v>59.102499999999992</v>
      </c>
      <c r="F121" s="72" t="s">
        <v>0</v>
      </c>
      <c r="S121" s="2"/>
    </row>
    <row r="122" spans="1:21" ht="30" customHeight="1" thickBot="1" x14ac:dyDescent="0.3">
      <c r="B122" s="305" t="s">
        <v>61</v>
      </c>
      <c r="C122" s="306"/>
      <c r="D122" s="306"/>
      <c r="E122" s="73">
        <f>R116</f>
        <v>61.657500000000006</v>
      </c>
      <c r="F122" s="74" t="s">
        <v>0</v>
      </c>
      <c r="S122" s="2"/>
    </row>
    <row r="123" spans="1:21" ht="15" customHeight="1" thickBot="1" x14ac:dyDescent="0.3">
      <c r="S123" s="2"/>
    </row>
    <row r="124" spans="1:21" ht="30" customHeight="1" thickBot="1" x14ac:dyDescent="0.3">
      <c r="B124" s="278" t="s">
        <v>43</v>
      </c>
      <c r="C124" s="279"/>
      <c r="D124" s="279"/>
      <c r="E124" s="75">
        <f>D116-K33</f>
        <v>37.258200000000002</v>
      </c>
      <c r="F124" s="89" t="s">
        <v>26</v>
      </c>
    </row>
    <row r="125" spans="1:21" x14ac:dyDescent="0.25"/>
    <row r="126" spans="1:21" hidden="1" x14ac:dyDescent="0.25"/>
    <row r="127" spans="1:21" hidden="1" x14ac:dyDescent="0.25"/>
    <row r="128" spans="1:21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spans="19:19" hidden="1" x14ac:dyDescent="0.25"/>
    <row r="258" spans="19:19" hidden="1" x14ac:dyDescent="0.25"/>
    <row r="259" spans="19:19" hidden="1" x14ac:dyDescent="0.25"/>
    <row r="260" spans="19:19" hidden="1" x14ac:dyDescent="0.25"/>
    <row r="261" spans="19:19" hidden="1" x14ac:dyDescent="0.25"/>
    <row r="262" spans="19:19" hidden="1" x14ac:dyDescent="0.25"/>
    <row r="263" spans="19:19" hidden="1" x14ac:dyDescent="0.25"/>
    <row r="264" spans="19:19" hidden="1" x14ac:dyDescent="0.25"/>
    <row r="265" spans="19:19" hidden="1" x14ac:dyDescent="0.25"/>
    <row r="266" spans="19:19" hidden="1" x14ac:dyDescent="0.25"/>
    <row r="267" spans="19:19" hidden="1" x14ac:dyDescent="0.25">
      <c r="S267" s="1"/>
    </row>
    <row r="268" spans="19:19" hidden="1" x14ac:dyDescent="0.25">
      <c r="S268" s="1"/>
    </row>
    <row r="269" spans="19:19" s="1" customFormat="1" hidden="1" x14ac:dyDescent="0.25"/>
    <row r="270" spans="19:19" x14ac:dyDescent="0.25"/>
    <row r="271" spans="19:19" x14ac:dyDescent="0.25"/>
    <row r="272" spans="19:19" x14ac:dyDescent="0.25"/>
    <row r="273" x14ac:dyDescent="0.25"/>
    <row r="274" x14ac:dyDescent="0.25"/>
  </sheetData>
  <mergeCells count="54">
    <mergeCell ref="S74:S75"/>
    <mergeCell ref="T74:T75"/>
    <mergeCell ref="B6:S6"/>
    <mergeCell ref="B37:D37"/>
    <mergeCell ref="H23:I23"/>
    <mergeCell ref="B38:D38"/>
    <mergeCell ref="B39:D39"/>
    <mergeCell ref="B22:F22"/>
    <mergeCell ref="B33:F33"/>
    <mergeCell ref="D88:D89"/>
    <mergeCell ref="R73:R75"/>
    <mergeCell ref="Q73:Q75"/>
    <mergeCell ref="P73:P75"/>
    <mergeCell ref="O73:O75"/>
    <mergeCell ref="G73:M73"/>
    <mergeCell ref="N73:N75"/>
    <mergeCell ref="N88:N89"/>
    <mergeCell ref="G74:I74"/>
    <mergeCell ref="J74:L74"/>
    <mergeCell ref="B124:D124"/>
    <mergeCell ref="B119:D119"/>
    <mergeCell ref="G116:L116"/>
    <mergeCell ref="E73:E75"/>
    <mergeCell ref="F73:F75"/>
    <mergeCell ref="B116:C116"/>
    <mergeCell ref="B73:B75"/>
    <mergeCell ref="C73:C75"/>
    <mergeCell ref="D73:D75"/>
    <mergeCell ref="B88:B89"/>
    <mergeCell ref="C88:C89"/>
    <mergeCell ref="E88:E89"/>
    <mergeCell ref="F88:F89"/>
    <mergeCell ref="B122:D122"/>
    <mergeCell ref="B121:D121"/>
    <mergeCell ref="B120:D120"/>
    <mergeCell ref="B1:S1"/>
    <mergeCell ref="B2:S2"/>
    <mergeCell ref="B3:S3"/>
    <mergeCell ref="B4:S4"/>
    <mergeCell ref="B5:S5"/>
    <mergeCell ref="B70:R70"/>
    <mergeCell ref="B10:H10"/>
    <mergeCell ref="B11:F11"/>
    <mergeCell ref="B47:F47"/>
    <mergeCell ref="B13:R13"/>
    <mergeCell ref="B35:D35"/>
    <mergeCell ref="B12:R12"/>
    <mergeCell ref="B66:D66"/>
    <mergeCell ref="B41:D41"/>
    <mergeCell ref="B36:D36"/>
    <mergeCell ref="B40:D40"/>
    <mergeCell ref="B15:R15"/>
    <mergeCell ref="B45:R45"/>
    <mergeCell ref="B67:D6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30" fitToHeight="0" orientation="portrait" r:id="rId1"/>
  <headerFooter>
    <oddFooter>Página &amp;P&amp;R&amp;F</oddFooter>
  </headerFooter>
  <rowBreaks count="1" manualBreakCount="1">
    <brk id="69" min="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34"/>
  <sheetViews>
    <sheetView view="pageBreakPreview" zoomScale="115" zoomScaleNormal="110" zoomScaleSheetLayoutView="115" workbookViewId="0">
      <selection activeCell="A6" sqref="A6:F6"/>
    </sheetView>
  </sheetViews>
  <sheetFormatPr defaultRowHeight="13.2" x14ac:dyDescent="0.25"/>
  <cols>
    <col min="1" max="1" width="17.6640625" customWidth="1"/>
    <col min="2" max="2" width="32.109375" customWidth="1"/>
    <col min="4" max="4" width="15.109375" customWidth="1"/>
    <col min="6" max="6" width="10.88671875" customWidth="1"/>
  </cols>
  <sheetData>
    <row r="1" spans="1:13" x14ac:dyDescent="0.25">
      <c r="A1" s="277" t="s">
        <v>37</v>
      </c>
      <c r="B1" s="277"/>
      <c r="C1" s="277"/>
      <c r="D1" s="277"/>
      <c r="E1" s="277"/>
      <c r="F1" s="277"/>
      <c r="G1" s="44"/>
      <c r="H1" s="44"/>
      <c r="I1" s="44"/>
      <c r="J1" s="44"/>
      <c r="K1" s="44"/>
      <c r="L1" s="44"/>
      <c r="M1" s="44"/>
    </row>
    <row r="2" spans="1:13" x14ac:dyDescent="0.25">
      <c r="A2" s="277" t="s">
        <v>101</v>
      </c>
      <c r="B2" s="277"/>
      <c r="C2" s="277"/>
      <c r="D2" s="277"/>
      <c r="E2" s="277"/>
      <c r="F2" s="277"/>
      <c r="G2" s="44"/>
      <c r="H2" s="44"/>
      <c r="I2" s="44"/>
      <c r="J2" s="44"/>
      <c r="K2" s="44"/>
      <c r="L2" s="44"/>
      <c r="M2" s="44"/>
    </row>
    <row r="3" spans="1:13" x14ac:dyDescent="0.25">
      <c r="A3" s="277" t="s">
        <v>102</v>
      </c>
      <c r="B3" s="277"/>
      <c r="C3" s="277"/>
      <c r="D3" s="277"/>
      <c r="E3" s="277"/>
      <c r="F3" s="277"/>
      <c r="G3" s="44"/>
      <c r="H3" s="44"/>
      <c r="I3" s="44"/>
      <c r="J3" s="44"/>
      <c r="K3" s="44"/>
      <c r="L3" s="44"/>
      <c r="M3" s="44"/>
    </row>
    <row r="4" spans="1:13" x14ac:dyDescent="0.25">
      <c r="A4" s="277" t="s">
        <v>103</v>
      </c>
      <c r="B4" s="277"/>
      <c r="C4" s="277"/>
      <c r="D4" s="277"/>
      <c r="E4" s="277"/>
      <c r="F4" s="277"/>
      <c r="G4" s="44"/>
      <c r="H4" s="44"/>
      <c r="I4" s="44"/>
      <c r="J4" s="44"/>
      <c r="K4" s="44"/>
      <c r="L4" s="44"/>
      <c r="M4" s="44"/>
    </row>
    <row r="5" spans="1:13" x14ac:dyDescent="0.25">
      <c r="A5" s="277" t="s">
        <v>109</v>
      </c>
      <c r="B5" s="277"/>
      <c r="C5" s="277"/>
      <c r="D5" s="277"/>
      <c r="E5" s="277"/>
      <c r="F5" s="277"/>
      <c r="G5" s="44"/>
      <c r="H5" s="44"/>
      <c r="I5" s="44"/>
      <c r="J5" s="44"/>
      <c r="K5" s="44"/>
      <c r="L5" s="44"/>
      <c r="M5" s="44"/>
    </row>
    <row r="6" spans="1:13" x14ac:dyDescent="0.25">
      <c r="A6" s="277" t="s">
        <v>108</v>
      </c>
      <c r="B6" s="277"/>
      <c r="C6" s="277"/>
      <c r="D6" s="277"/>
      <c r="E6" s="277"/>
      <c r="F6" s="277"/>
      <c r="G6" s="44"/>
      <c r="H6" s="44"/>
      <c r="I6" s="44"/>
      <c r="J6" s="44"/>
      <c r="K6" s="44"/>
      <c r="L6" s="44"/>
      <c r="M6" s="44"/>
    </row>
    <row r="7" spans="1:13" x14ac:dyDescent="0.25">
      <c r="A7" s="191"/>
      <c r="B7" s="189"/>
      <c r="C7" s="53"/>
      <c r="D7" s="53"/>
      <c r="E7" s="53"/>
      <c r="F7" s="194"/>
      <c r="G7" s="44"/>
      <c r="H7" s="44"/>
      <c r="I7" s="44"/>
      <c r="J7" s="44"/>
      <c r="K7" s="44"/>
      <c r="L7" s="44"/>
      <c r="M7" s="44"/>
    </row>
    <row r="8" spans="1:13" ht="13.8" x14ac:dyDescent="0.25">
      <c r="A8" s="192"/>
      <c r="B8" s="190"/>
      <c r="C8" s="44"/>
      <c r="D8" s="44"/>
      <c r="E8" s="195"/>
      <c r="F8" s="195"/>
      <c r="G8" s="187"/>
      <c r="H8" s="44"/>
    </row>
    <row r="9" spans="1:13" ht="13.8" x14ac:dyDescent="0.25">
      <c r="A9" s="246" t="s">
        <v>110</v>
      </c>
      <c r="B9" s="48"/>
      <c r="C9" s="48"/>
      <c r="D9" s="48"/>
      <c r="E9" s="196"/>
      <c r="F9" s="193"/>
      <c r="G9" s="188"/>
      <c r="H9" s="50"/>
    </row>
    <row r="10" spans="1:13" ht="13.8" x14ac:dyDescent="0.25">
      <c r="A10" s="260" t="s">
        <v>83</v>
      </c>
      <c r="B10" s="260"/>
      <c r="C10" s="260"/>
      <c r="D10" s="260"/>
      <c r="E10" s="260"/>
      <c r="F10" s="260"/>
      <c r="G10" s="260"/>
      <c r="H10" s="50"/>
    </row>
    <row r="11" spans="1:13" x14ac:dyDescent="0.25">
      <c r="A11" s="54"/>
      <c r="B11" s="54"/>
      <c r="C11" s="54"/>
      <c r="D11" s="54"/>
      <c r="E11" s="54"/>
      <c r="F11" s="54"/>
      <c r="G11" s="54"/>
      <c r="H11" s="51"/>
    </row>
    <row r="12" spans="1:13" x14ac:dyDescent="0.25">
      <c r="A12" s="32"/>
      <c r="B12" s="32"/>
      <c r="C12" s="32"/>
      <c r="D12" s="32"/>
      <c r="E12" s="32"/>
      <c r="F12" s="32"/>
      <c r="G12" s="32"/>
    </row>
    <row r="13" spans="1:13" s="43" customFormat="1" ht="30" customHeight="1" x14ac:dyDescent="0.25">
      <c r="A13" s="45"/>
      <c r="B13" s="55" t="s">
        <v>38</v>
      </c>
      <c r="C13" s="56" t="s">
        <v>39</v>
      </c>
      <c r="D13" s="56" t="s">
        <v>1</v>
      </c>
      <c r="E13" s="45"/>
      <c r="F13" s="45"/>
      <c r="G13" s="45"/>
    </row>
    <row r="14" spans="1:13" s="43" customFormat="1" ht="30" customHeight="1" x14ac:dyDescent="0.25">
      <c r="A14" s="45"/>
      <c r="B14" s="90" t="s">
        <v>41</v>
      </c>
      <c r="C14" s="57" t="s">
        <v>40</v>
      </c>
      <c r="D14" s="58">
        <f>'DIV, ALV, SOL, PEIT, VERGA'!E35</f>
        <v>20.2</v>
      </c>
      <c r="E14" s="45"/>
      <c r="F14" s="45"/>
      <c r="G14" s="45"/>
      <c r="H14" s="45"/>
      <c r="I14" s="45"/>
    </row>
    <row r="15" spans="1:13" s="43" customFormat="1" ht="30" customHeight="1" x14ac:dyDescent="0.25">
      <c r="A15" s="45"/>
      <c r="B15" s="90" t="s">
        <v>43</v>
      </c>
      <c r="C15" s="57" t="s">
        <v>40</v>
      </c>
      <c r="D15" s="184">
        <f>'DIV, ALV, SOL, PEIT, VERGA'!E124</f>
        <v>37.258200000000002</v>
      </c>
      <c r="E15" s="45"/>
      <c r="F15" s="45"/>
      <c r="G15" s="45"/>
      <c r="H15" s="45"/>
      <c r="I15" s="45"/>
    </row>
    <row r="16" spans="1:13" s="43" customFormat="1" ht="30" customHeight="1" x14ac:dyDescent="0.25">
      <c r="A16" s="45"/>
      <c r="B16" s="91" t="s">
        <v>95</v>
      </c>
      <c r="C16" s="57" t="s">
        <v>40</v>
      </c>
      <c r="D16" s="184">
        <f>'DIV, ALV, SOL, PEIT, VERGA'!E36</f>
        <v>19</v>
      </c>
      <c r="E16" s="45"/>
      <c r="F16" s="45"/>
      <c r="G16" s="45"/>
      <c r="H16" s="45"/>
      <c r="I16" s="45"/>
    </row>
    <row r="17" spans="1:9" s="43" customFormat="1" ht="30" customHeight="1" x14ac:dyDescent="0.25">
      <c r="A17" s="45"/>
      <c r="B17" s="91" t="s">
        <v>96</v>
      </c>
      <c r="C17" s="57" t="s">
        <v>40</v>
      </c>
      <c r="D17" s="184">
        <f>'DIV, ALV, SOL, PEIT, VERGA'!E37</f>
        <v>6.3999999999999995</v>
      </c>
      <c r="E17" s="45"/>
      <c r="F17" s="45"/>
      <c r="G17" s="45"/>
      <c r="H17" s="45"/>
      <c r="I17" s="45"/>
    </row>
    <row r="18" spans="1:9" s="43" customFormat="1" ht="30" customHeight="1" x14ac:dyDescent="0.25">
      <c r="A18" s="45"/>
      <c r="B18" s="91" t="s">
        <v>98</v>
      </c>
      <c r="C18" s="57" t="s">
        <v>40</v>
      </c>
      <c r="D18" s="184">
        <f>'DIV, ALV, SOL, PEIT, VERGA'!E38</f>
        <v>2.6</v>
      </c>
      <c r="E18" s="45"/>
      <c r="F18" s="45"/>
      <c r="G18" s="45"/>
      <c r="H18" s="45"/>
      <c r="I18" s="45"/>
    </row>
    <row r="19" spans="1:9" s="43" customFormat="1" ht="30" customHeight="1" x14ac:dyDescent="0.25">
      <c r="A19" s="45"/>
      <c r="B19" s="91" t="s">
        <v>99</v>
      </c>
      <c r="C19" s="57" t="s">
        <v>40</v>
      </c>
      <c r="D19" s="184">
        <f>'DIV, ALV, SOL, PEIT, VERGA'!E39</f>
        <v>0</v>
      </c>
      <c r="E19" s="45"/>
      <c r="F19" s="45"/>
      <c r="G19" s="45"/>
      <c r="H19" s="45"/>
      <c r="I19" s="45"/>
    </row>
    <row r="20" spans="1:9" s="43" customFormat="1" ht="30" customHeight="1" x14ac:dyDescent="0.25">
      <c r="A20" s="45"/>
      <c r="B20" s="91" t="s">
        <v>93</v>
      </c>
      <c r="C20" s="57" t="s">
        <v>40</v>
      </c>
      <c r="D20" s="184">
        <f>'DIV, ALV, SOL, PEIT, VERGA'!E40</f>
        <v>14</v>
      </c>
      <c r="E20" s="45"/>
      <c r="F20" s="45"/>
      <c r="G20" s="45"/>
      <c r="H20" s="45"/>
      <c r="I20" s="45"/>
    </row>
    <row r="21" spans="1:9" s="43" customFormat="1" ht="30" customHeight="1" x14ac:dyDescent="0.25">
      <c r="A21" s="45"/>
      <c r="B21" s="91" t="s">
        <v>97</v>
      </c>
      <c r="C21" s="57" t="s">
        <v>40</v>
      </c>
      <c r="D21" s="184">
        <f>'DIV, ALV, SOL, PEIT, VERGA'!E41</f>
        <v>0</v>
      </c>
      <c r="E21" s="45"/>
      <c r="F21" s="45"/>
      <c r="G21" s="45"/>
      <c r="H21" s="45"/>
      <c r="I21" s="45"/>
    </row>
    <row r="22" spans="1:9" s="43" customFormat="1" ht="30" customHeight="1" x14ac:dyDescent="0.25">
      <c r="A22" s="45"/>
      <c r="B22" s="90" t="s">
        <v>25</v>
      </c>
      <c r="C22" s="57" t="s">
        <v>42</v>
      </c>
      <c r="D22" s="58">
        <f>'DIV, ALV, SOL, PEIT, VERGA'!E66</f>
        <v>52.811999999999998</v>
      </c>
      <c r="E22" s="45"/>
      <c r="F22" s="45"/>
      <c r="G22" s="45"/>
      <c r="H22" s="45"/>
      <c r="I22" s="45"/>
    </row>
    <row r="23" spans="1:9" s="43" customFormat="1" ht="30" customHeight="1" x14ac:dyDescent="0.25">
      <c r="A23" s="45"/>
      <c r="B23" s="90" t="s">
        <v>107</v>
      </c>
      <c r="C23" s="57" t="s">
        <v>42</v>
      </c>
      <c r="D23" s="58">
        <f>'DIV, ALV, SOL, PEIT, VERGA'!E67</f>
        <v>0.48</v>
      </c>
      <c r="E23" s="45"/>
      <c r="F23" s="45"/>
      <c r="G23" s="45"/>
      <c r="H23" s="45"/>
      <c r="I23" s="45"/>
    </row>
    <row r="24" spans="1:9" s="43" customFormat="1" ht="50.1" customHeight="1" x14ac:dyDescent="0.25">
      <c r="A24" s="45"/>
      <c r="B24" s="91" t="s">
        <v>67</v>
      </c>
      <c r="C24" s="57" t="s">
        <v>42</v>
      </c>
      <c r="D24" s="58">
        <f>'DIV, ALV, SOL, PEIT, VERGA'!E119</f>
        <v>28.265000000000001</v>
      </c>
      <c r="E24" s="45"/>
      <c r="F24" s="45"/>
      <c r="G24" s="45"/>
      <c r="H24" s="45"/>
      <c r="I24" s="45"/>
    </row>
    <row r="25" spans="1:9" s="43" customFormat="1" ht="50.1" customHeight="1" x14ac:dyDescent="0.25">
      <c r="A25" s="45"/>
      <c r="B25" s="91" t="s">
        <v>68</v>
      </c>
      <c r="C25" s="57" t="s">
        <v>42</v>
      </c>
      <c r="D25" s="58">
        <f>'DIV, ALV, SOL, PEIT, VERGA'!E120</f>
        <v>3.2549999999999999</v>
      </c>
      <c r="E25" s="45"/>
      <c r="F25" s="45"/>
      <c r="G25" s="45"/>
      <c r="H25" s="45"/>
      <c r="I25" s="45"/>
    </row>
    <row r="26" spans="1:9" s="43" customFormat="1" ht="50.1" customHeight="1" x14ac:dyDescent="0.25">
      <c r="A26" s="45"/>
      <c r="B26" s="91" t="s">
        <v>69</v>
      </c>
      <c r="C26" s="57" t="s">
        <v>42</v>
      </c>
      <c r="D26" s="58">
        <f>'DIV, ALV, SOL, PEIT, VERGA'!E121</f>
        <v>59.102499999999992</v>
      </c>
      <c r="E26" s="45"/>
      <c r="F26" s="45"/>
      <c r="G26" s="45"/>
      <c r="H26" s="45"/>
      <c r="I26" s="45"/>
    </row>
    <row r="27" spans="1:9" s="43" customFormat="1" ht="50.1" customHeight="1" x14ac:dyDescent="0.25">
      <c r="A27" s="45"/>
      <c r="B27" s="91" t="s">
        <v>70</v>
      </c>
      <c r="C27" s="57" t="s">
        <v>42</v>
      </c>
      <c r="D27" s="58">
        <f>'DIV, ALV, SOL, PEIT, VERGA'!E122</f>
        <v>61.657500000000006</v>
      </c>
      <c r="E27" s="45"/>
      <c r="F27" s="45"/>
      <c r="G27" s="45"/>
      <c r="H27" s="45"/>
      <c r="I27" s="45"/>
    </row>
    <row r="28" spans="1:9" x14ac:dyDescent="0.25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25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25">
      <c r="A32" s="32"/>
      <c r="B32" s="32"/>
      <c r="C32" s="32"/>
      <c r="D32" s="32"/>
      <c r="E32" s="32"/>
      <c r="F32" s="32"/>
      <c r="G32" s="32"/>
      <c r="H32" s="32"/>
      <c r="I32" s="32"/>
    </row>
    <row r="33" spans="1:9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4" spans="1:9" x14ac:dyDescent="0.25">
      <c r="A34" s="32"/>
      <c r="B34" s="32"/>
      <c r="C34" s="32"/>
      <c r="D34" s="32"/>
      <c r="E34" s="32"/>
      <c r="F34" s="32"/>
      <c r="G34" s="32"/>
    </row>
  </sheetData>
  <mergeCells count="7">
    <mergeCell ref="A10:G10"/>
    <mergeCell ref="A5:F5"/>
    <mergeCell ref="A6:F6"/>
    <mergeCell ref="A1:F1"/>
    <mergeCell ref="A2:F2"/>
    <mergeCell ref="A3:F3"/>
    <mergeCell ref="A4:F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9C36AA8A13D4696D8D661A22175F9" ma:contentTypeVersion="18" ma:contentTypeDescription="Create a new document." ma:contentTypeScope="" ma:versionID="b8fd96bbdee6864775ca7237d8cf671e">
  <xsd:schema xmlns:xsd="http://www.w3.org/2001/XMLSchema" xmlns:xs="http://www.w3.org/2001/XMLSchema" xmlns:p="http://schemas.microsoft.com/office/2006/metadata/properties" xmlns:ns3="5ea28c26-d95d-407e-93ce-086b7e64b9ea" xmlns:ns4="f7fff33c-ea10-4d21-89ed-1d5228e4597c" targetNamespace="http://schemas.microsoft.com/office/2006/metadata/properties" ma:root="true" ma:fieldsID="ea905dd6b780f97a736f1efa915c5c9e" ns3:_="" ns4:_="">
    <xsd:import namespace="5ea28c26-d95d-407e-93ce-086b7e64b9ea"/>
    <xsd:import namespace="f7fff33c-ea10-4d21-89ed-1d5228e459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_activity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28c26-d95d-407e-93ce-086b7e64b9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f33c-ea10-4d21-89ed-1d5228e45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fff33c-ea10-4d21-89ed-1d5228e4597c" xsi:nil="true"/>
  </documentManagement>
</p:properties>
</file>

<file path=customXml/itemProps1.xml><?xml version="1.0" encoding="utf-8"?>
<ds:datastoreItem xmlns:ds="http://schemas.openxmlformats.org/officeDocument/2006/customXml" ds:itemID="{19ED335D-F264-4A3E-9D6D-332EF4157C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A242AD-829D-4B1A-888A-89F9A5162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28c26-d95d-407e-93ce-086b7e64b9ea"/>
    <ds:schemaRef ds:uri="f7fff33c-ea10-4d21-89ed-1d5228e459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372021-3F47-422B-9A77-30AAEA21B14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f7fff33c-ea10-4d21-89ed-1d5228e4597c"/>
    <ds:schemaRef ds:uri="http://schemas.microsoft.com/office/infopath/2007/PartnerControls"/>
    <ds:schemaRef ds:uri="http://schemas.openxmlformats.org/package/2006/metadata/core-properties"/>
    <ds:schemaRef ds:uri="5ea28c26-d95d-407e-93ce-086b7e64b9e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DIV, ALV, SOL, PEIT, VERGA</vt:lpstr>
      <vt:lpstr>RESUMO</vt:lpstr>
      <vt:lpstr>'DIV, ALV, SOL, PEIT, VERGA'!Area_de_impressao</vt:lpstr>
      <vt:lpstr>RESUMO!Area_de_impressao</vt:lpstr>
      <vt:lpstr>'DIV, ALV, SOL, PEIT, VERGA'!Titulos_de_impressao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Souza Carvalho</dc:creator>
  <cp:lastModifiedBy>Gabriel Silveira Alencar</cp:lastModifiedBy>
  <cp:lastPrinted>2024-04-26T16:13:29Z</cp:lastPrinted>
  <dcterms:created xsi:type="dcterms:W3CDTF">2016-08-19T18:27:06Z</dcterms:created>
  <dcterms:modified xsi:type="dcterms:W3CDTF">2025-02-10T16:52:11Z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0x0101006219C36AA8A13D4696D8D661A22175F9</vt:lpwstr>
  </property>
</Properties>
</file>