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fam2-my.sharepoint.com/personal/21927782_ifam2_onmicrosoft_com/Documents/IFAM/PROJETO BASICO/CAMPUS MANICORÉ/MEMORIAS DE CALCULO/MEMORIAS ANEXO E GERAL/"/>
    </mc:Choice>
  </mc:AlternateContent>
  <xr:revisionPtr revIDLastSave="22" documentId="8_{926C7D34-FE8F-44B7-AEA2-8EE3593FEA05}" xr6:coauthVersionLast="36" xr6:coauthVersionMax="36" xr10:uidLastSave="{50F47B51-32BF-42F9-B46B-01E0CDAA3A4F}"/>
  <bookViews>
    <workbookView xWindow="-120" yWindow="-120" windowWidth="29040" windowHeight="15720" tabRatio="688" xr2:uid="{CCB7358B-12A5-48B5-8AF4-F36B001FEE31}"/>
  </bookViews>
  <sheets>
    <sheet name="MEMÓRIA" sheetId="10" r:id="rId1"/>
    <sheet name="BLOCO G" sheetId="1" r:id="rId2"/>
    <sheet name="BLOCO J" sheetId="2" r:id="rId3"/>
    <sheet name="BLOCO I" sheetId="3" r:id="rId4"/>
    <sheet name="BLOCO F" sheetId="4" r:id="rId5"/>
    <sheet name="BLOCO E" sheetId="5" r:id="rId6"/>
    <sheet name="BLOCO C" sheetId="6" r:id="rId7"/>
    <sheet name="BLOCO B" sheetId="7" r:id="rId8"/>
    <sheet name="BLOCO H" sheetId="8" r:id="rId9"/>
    <sheet name="PATIO" sheetId="11" r:id="rId10"/>
    <sheet name="QUADRA" sheetId="12" r:id="rId11"/>
  </sheets>
  <definedNames>
    <definedName name="_xlnm.Print_Area" localSheetId="7">'BLOCO B'!$A$1:$I$70</definedName>
    <definedName name="_xlnm.Print_Area" localSheetId="6">'BLOCO C'!$A$1:$I$53</definedName>
    <definedName name="_xlnm.Print_Area" localSheetId="5">'BLOCO E'!$A$1:$I$44</definedName>
    <definedName name="_xlnm.Print_Area" localSheetId="4">'BLOCO F'!$A$1:$I$53</definedName>
    <definedName name="_xlnm.Print_Area" localSheetId="1">'BLOCO G'!$A$1:$H$97</definedName>
    <definedName name="_xlnm.Print_Area" localSheetId="8">'BLOCO H'!$A$1:$I$94</definedName>
    <definedName name="_xlnm.Print_Area" localSheetId="3">'BLOCO I'!$A$1:$I$94</definedName>
    <definedName name="_xlnm.Print_Area" localSheetId="0">MEMÓRIA!$B$1:$I$189</definedName>
    <definedName name="_xlnm.Print_Area" localSheetId="9">PATIO!$O$1:$V$238</definedName>
    <definedName name="_xlnm.Print_Area" localSheetId="10">QUADRA!$A$1:$I$32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6" i="10" l="1"/>
  <c r="E138" i="10"/>
  <c r="E166" i="10"/>
  <c r="G166" i="10"/>
  <c r="H166" i="10" s="1"/>
  <c r="G155" i="10"/>
  <c r="H155" i="10" s="1"/>
  <c r="G104" i="10" l="1"/>
  <c r="H104" i="10" s="1"/>
  <c r="G88" i="10"/>
  <c r="E101" i="10"/>
  <c r="E117" i="10"/>
  <c r="E113" i="10"/>
  <c r="E149" i="10"/>
  <c r="E145" i="10"/>
  <c r="E133" i="10"/>
  <c r="E129" i="10"/>
  <c r="E144" i="10"/>
  <c r="E112" i="10"/>
  <c r="E128" i="10"/>
  <c r="E148" i="10"/>
  <c r="E116" i="10"/>
  <c r="E132" i="10"/>
  <c r="E143" i="10"/>
  <c r="E111" i="10"/>
  <c r="E127" i="10"/>
  <c r="E147" i="10"/>
  <c r="E115" i="10"/>
  <c r="E131" i="10"/>
  <c r="E142" i="10"/>
  <c r="E110" i="10"/>
  <c r="E126" i="10"/>
  <c r="E130" i="10"/>
  <c r="E146" i="10"/>
  <c r="E150" i="10"/>
  <c r="E118" i="10"/>
  <c r="E134" i="10"/>
  <c r="E119" i="10"/>
  <c r="E151" i="10"/>
  <c r="E135" i="10"/>
  <c r="E152" i="10"/>
  <c r="E120" i="10"/>
  <c r="E125" i="10"/>
  <c r="E109" i="10"/>
  <c r="E141" i="10"/>
  <c r="E136" i="10"/>
  <c r="E153" i="10"/>
  <c r="E154" i="10"/>
  <c r="E121" i="10"/>
  <c r="E137" i="10"/>
  <c r="E124" i="10"/>
  <c r="E140" i="10"/>
  <c r="E108" i="10"/>
  <c r="E123" i="10"/>
  <c r="E107" i="10"/>
  <c r="E139" i="10"/>
  <c r="G138" i="10" s="1"/>
  <c r="E122" i="10"/>
  <c r="E106" i="10"/>
  <c r="E105" i="10"/>
  <c r="G105" i="10" s="1"/>
  <c r="E100" i="10"/>
  <c r="E99" i="10"/>
  <c r="E98" i="10"/>
  <c r="E97" i="10"/>
  <c r="E96" i="10"/>
  <c r="H138" i="10" l="1"/>
  <c r="G122" i="10"/>
  <c r="G106" i="10"/>
  <c r="H106" i="10" s="1"/>
  <c r="H122" i="10"/>
  <c r="H105" i="10"/>
  <c r="E103" i="10"/>
  <c r="E102" i="10"/>
  <c r="E95" i="10"/>
  <c r="E94" i="10"/>
  <c r="G101" i="10" l="1"/>
  <c r="H101" i="10" s="1"/>
  <c r="G94" i="10"/>
  <c r="H94" i="10" s="1"/>
  <c r="H88" i="10"/>
  <c r="H14" i="12"/>
  <c r="H13" i="12"/>
  <c r="H12" i="12"/>
  <c r="H11" i="12"/>
  <c r="G14" i="12"/>
  <c r="F13" i="12"/>
  <c r="G13" i="12"/>
  <c r="G12" i="12"/>
  <c r="G11" i="12"/>
  <c r="E86" i="10" l="1"/>
  <c r="E79" i="10"/>
  <c r="F87" i="10"/>
  <c r="G87" i="10" s="1"/>
  <c r="H87" i="10" s="1"/>
  <c r="E177" i="10"/>
  <c r="E187" i="10" s="1"/>
  <c r="E176" i="10"/>
  <c r="E186" i="10" s="1"/>
  <c r="E175" i="10"/>
  <c r="E185" i="10" s="1"/>
  <c r="E174" i="10"/>
  <c r="E184" i="10" s="1"/>
  <c r="E173" i="10"/>
  <c r="E183" i="10" s="1"/>
  <c r="E172" i="10"/>
  <c r="E182" i="10" s="1"/>
  <c r="E171" i="10"/>
  <c r="E181" i="10" s="1"/>
  <c r="E170" i="10"/>
  <c r="E180" i="10" s="1"/>
  <c r="E169" i="10"/>
  <c r="E179" i="10" s="1"/>
  <c r="G77" i="10" l="1"/>
  <c r="H77" i="10" s="1"/>
  <c r="G22" i="12"/>
  <c r="G21" i="12"/>
  <c r="F22" i="12"/>
  <c r="F46" i="10" s="1"/>
  <c r="G46" i="10" s="1"/>
  <c r="F21" i="12"/>
  <c r="F45" i="10" s="1"/>
  <c r="G45" i="10" s="1"/>
  <c r="G25" i="12"/>
  <c r="F25" i="12"/>
  <c r="E47" i="10" s="1"/>
  <c r="C11" i="12"/>
  <c r="F11" i="12"/>
  <c r="G24" i="12" s="1"/>
  <c r="G23" i="12"/>
  <c r="F24" i="12" l="1"/>
  <c r="E14" i="10" s="1"/>
  <c r="G14" i="10" s="1"/>
  <c r="H14" i="10" s="1"/>
  <c r="H10" i="12" l="1"/>
  <c r="H9" i="12"/>
  <c r="G31" i="12"/>
  <c r="G32" i="12" s="1"/>
  <c r="G27" i="12"/>
  <c r="F27" i="12"/>
  <c r="E67" i="10" s="1"/>
  <c r="E76" i="10"/>
  <c r="E66" i="10"/>
  <c r="E56" i="10"/>
  <c r="F44" i="10"/>
  <c r="E34" i="10"/>
  <c r="E24" i="10"/>
  <c r="T222" i="11"/>
  <c r="T237" i="11"/>
  <c r="T236" i="11"/>
  <c r="T235" i="11"/>
  <c r="T234" i="11"/>
  <c r="T233" i="11"/>
  <c r="T232" i="11"/>
  <c r="T231" i="11"/>
  <c r="V214" i="11"/>
  <c r="V213" i="11"/>
  <c r="V212" i="11"/>
  <c r="V211" i="11"/>
  <c r="V210" i="11"/>
  <c r="V209" i="11"/>
  <c r="V208" i="11"/>
  <c r="V207" i="11"/>
  <c r="V206" i="11"/>
  <c r="V205" i="11"/>
  <c r="V204" i="11"/>
  <c r="V203" i="11"/>
  <c r="V202" i="11"/>
  <c r="V201" i="11"/>
  <c r="V200" i="11"/>
  <c r="V199" i="11"/>
  <c r="V198" i="11"/>
  <c r="T224" i="11" s="1"/>
  <c r="V197" i="11"/>
  <c r="T225" i="11" s="1"/>
  <c r="V196" i="11"/>
  <c r="V195" i="11"/>
  <c r="V194" i="11"/>
  <c r="V193" i="11"/>
  <c r="V192" i="11"/>
  <c r="V191" i="11"/>
  <c r="V190" i="11"/>
  <c r="V189" i="11"/>
  <c r="V188" i="11"/>
  <c r="V187" i="11"/>
  <c r="V186" i="11"/>
  <c r="V185" i="11"/>
  <c r="V184" i="11"/>
  <c r="V183" i="11"/>
  <c r="V182" i="11"/>
  <c r="V181" i="11"/>
  <c r="V180" i="11"/>
  <c r="V179" i="11"/>
  <c r="V178" i="11"/>
  <c r="V177" i="11"/>
  <c r="V176" i="11"/>
  <c r="V175" i="11"/>
  <c r="V174" i="11"/>
  <c r="V173" i="11"/>
  <c r="V172" i="11"/>
  <c r="V171" i="11"/>
  <c r="V170" i="11"/>
  <c r="V169" i="11"/>
  <c r="V168" i="11"/>
  <c r="V167" i="11"/>
  <c r="V166" i="11"/>
  <c r="V165" i="11"/>
  <c r="V164" i="11"/>
  <c r="V163" i="11"/>
  <c r="V162" i="11"/>
  <c r="V161" i="11"/>
  <c r="V160" i="11"/>
  <c r="V159" i="11"/>
  <c r="V158" i="11"/>
  <c r="V157" i="11"/>
  <c r="V156" i="11"/>
  <c r="V155" i="11"/>
  <c r="V154" i="11"/>
  <c r="V153" i="11"/>
  <c r="V152" i="11"/>
  <c r="V151" i="11"/>
  <c r="V150" i="11"/>
  <c r="V149" i="11"/>
  <c r="V148" i="11"/>
  <c r="V146" i="11"/>
  <c r="V145" i="11"/>
  <c r="T226" i="11" s="1"/>
  <c r="V144" i="11"/>
  <c r="V143" i="11"/>
  <c r="V142" i="11"/>
  <c r="V141" i="11"/>
  <c r="V140" i="11"/>
  <c r="V139" i="11"/>
  <c r="V138" i="11"/>
  <c r="V137" i="11"/>
  <c r="V136" i="11"/>
  <c r="V135" i="11"/>
  <c r="V134" i="11"/>
  <c r="V133" i="11"/>
  <c r="V132" i="11"/>
  <c r="V131" i="11"/>
  <c r="V130" i="11"/>
  <c r="V129" i="11"/>
  <c r="V128" i="11"/>
  <c r="V127" i="11"/>
  <c r="V126" i="11"/>
  <c r="V125" i="11"/>
  <c r="V124" i="11"/>
  <c r="V123" i="11"/>
  <c r="V122" i="11"/>
  <c r="V121" i="11"/>
  <c r="V120" i="11"/>
  <c r="V119" i="11"/>
  <c r="V118" i="11"/>
  <c r="V117" i="11"/>
  <c r="V116" i="11"/>
  <c r="V115" i="11"/>
  <c r="V114" i="11"/>
  <c r="V113" i="11"/>
  <c r="V112" i="11"/>
  <c r="V111" i="11"/>
  <c r="V110" i="11"/>
  <c r="V109" i="11"/>
  <c r="V108" i="11"/>
  <c r="V107" i="11"/>
  <c r="V106" i="11"/>
  <c r="V105" i="11"/>
  <c r="V104" i="11"/>
  <c r="V103" i="11"/>
  <c r="V102" i="11"/>
  <c r="V101" i="11"/>
  <c r="V100" i="11"/>
  <c r="V99" i="11"/>
  <c r="V98" i="11"/>
  <c r="V97" i="11"/>
  <c r="V96" i="11"/>
  <c r="V95" i="11"/>
  <c r="V94" i="11"/>
  <c r="V93" i="11"/>
  <c r="V92" i="11"/>
  <c r="V91" i="11"/>
  <c r="V90" i="11"/>
  <c r="V89" i="11"/>
  <c r="V88" i="11"/>
  <c r="V87" i="11"/>
  <c r="V86" i="11"/>
  <c r="V85" i="11"/>
  <c r="V84" i="11"/>
  <c r="V83" i="11"/>
  <c r="V82" i="11"/>
  <c r="V81" i="11"/>
  <c r="V80" i="11"/>
  <c r="V78" i="11"/>
  <c r="V77" i="11"/>
  <c r="V76" i="11"/>
  <c r="V75" i="11"/>
  <c r="V74" i="11"/>
  <c r="V73" i="11"/>
  <c r="V72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T223" i="11" s="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T221" i="11" s="1"/>
  <c r="V12" i="11"/>
  <c r="V216" i="11" s="1"/>
  <c r="N212" i="11"/>
  <c r="N211" i="11"/>
  <c r="N210" i="11"/>
  <c r="N209" i="11"/>
  <c r="N208" i="11"/>
  <c r="N207" i="11"/>
  <c r="N206" i="11"/>
  <c r="N205" i="11"/>
  <c r="N204" i="11"/>
  <c r="N203" i="11"/>
  <c r="N202" i="11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U214" i="11"/>
  <c r="U146" i="11"/>
  <c r="U78" i="11"/>
  <c r="N78" i="11"/>
  <c r="U213" i="11"/>
  <c r="U145" i="11"/>
  <c r="S226" i="11" s="1"/>
  <c r="U77" i="11"/>
  <c r="N77" i="11"/>
  <c r="U212" i="11"/>
  <c r="U144" i="11"/>
  <c r="U76" i="11"/>
  <c r="N76" i="11"/>
  <c r="U211" i="11"/>
  <c r="U143" i="11"/>
  <c r="U75" i="11"/>
  <c r="N75" i="11"/>
  <c r="U210" i="11"/>
  <c r="U142" i="11"/>
  <c r="U74" i="11"/>
  <c r="N74" i="11"/>
  <c r="U209" i="11"/>
  <c r="U141" i="11"/>
  <c r="U73" i="11"/>
  <c r="N73" i="11"/>
  <c r="U208" i="11"/>
  <c r="U140" i="11"/>
  <c r="U72" i="11"/>
  <c r="N72" i="11"/>
  <c r="U207" i="11"/>
  <c r="U139" i="11"/>
  <c r="U71" i="11"/>
  <c r="N71" i="11"/>
  <c r="U206" i="11"/>
  <c r="U138" i="11"/>
  <c r="U70" i="11"/>
  <c r="N70" i="11"/>
  <c r="U205" i="11"/>
  <c r="U137" i="11"/>
  <c r="U69" i="11"/>
  <c r="N69" i="11"/>
  <c r="U204" i="11"/>
  <c r="U136" i="11"/>
  <c r="U68" i="11"/>
  <c r="N68" i="11"/>
  <c r="U203" i="11"/>
  <c r="U135" i="11"/>
  <c r="U67" i="11"/>
  <c r="N67" i="11"/>
  <c r="U202" i="11"/>
  <c r="U134" i="11"/>
  <c r="U66" i="11"/>
  <c r="N66" i="11"/>
  <c r="U201" i="11"/>
  <c r="U133" i="11"/>
  <c r="U65" i="11"/>
  <c r="N65" i="11"/>
  <c r="U200" i="11"/>
  <c r="U132" i="11"/>
  <c r="U64" i="11"/>
  <c r="N64" i="11"/>
  <c r="U199" i="11"/>
  <c r="U131" i="11"/>
  <c r="U63" i="11"/>
  <c r="N63" i="11"/>
  <c r="U198" i="11"/>
  <c r="S224" i="11" s="1"/>
  <c r="U130" i="11"/>
  <c r="U62" i="11"/>
  <c r="N62" i="11"/>
  <c r="U197" i="11"/>
  <c r="S225" i="11" s="1"/>
  <c r="U129" i="11"/>
  <c r="U61" i="11"/>
  <c r="N61" i="11"/>
  <c r="U196" i="11"/>
  <c r="U128" i="11"/>
  <c r="U60" i="11"/>
  <c r="N60" i="11"/>
  <c r="U195" i="11"/>
  <c r="U127" i="11"/>
  <c r="U59" i="11"/>
  <c r="N59" i="11"/>
  <c r="U194" i="11"/>
  <c r="U126" i="11"/>
  <c r="U58" i="11"/>
  <c r="N58" i="11"/>
  <c r="U193" i="11"/>
  <c r="U125" i="11"/>
  <c r="U57" i="11"/>
  <c r="N57" i="11"/>
  <c r="U192" i="11"/>
  <c r="U124" i="11"/>
  <c r="U56" i="11"/>
  <c r="N56" i="11"/>
  <c r="U191" i="11"/>
  <c r="U123" i="11"/>
  <c r="U55" i="11"/>
  <c r="N55" i="11"/>
  <c r="U190" i="11"/>
  <c r="U122" i="11"/>
  <c r="U54" i="11"/>
  <c r="N54" i="11"/>
  <c r="U189" i="11"/>
  <c r="U121" i="11"/>
  <c r="U53" i="11"/>
  <c r="N53" i="11"/>
  <c r="U188" i="11"/>
  <c r="U120" i="11"/>
  <c r="U52" i="11"/>
  <c r="N52" i="11"/>
  <c r="U187" i="11"/>
  <c r="U119" i="11"/>
  <c r="U51" i="11"/>
  <c r="N51" i="11"/>
  <c r="U186" i="11"/>
  <c r="U118" i="11"/>
  <c r="U50" i="11"/>
  <c r="N50" i="11"/>
  <c r="U185" i="11"/>
  <c r="U117" i="11"/>
  <c r="U49" i="11"/>
  <c r="N49" i="11"/>
  <c r="U184" i="11"/>
  <c r="U116" i="11"/>
  <c r="U48" i="11"/>
  <c r="N48" i="11"/>
  <c r="U183" i="11"/>
  <c r="U115" i="11"/>
  <c r="U47" i="11"/>
  <c r="N47" i="11"/>
  <c r="U182" i="11"/>
  <c r="U114" i="11"/>
  <c r="U46" i="11"/>
  <c r="N46" i="11"/>
  <c r="U181" i="11"/>
  <c r="U113" i="11"/>
  <c r="U45" i="11"/>
  <c r="N45" i="11"/>
  <c r="U180" i="11"/>
  <c r="U112" i="11"/>
  <c r="U44" i="11"/>
  <c r="N44" i="11"/>
  <c r="U179" i="11"/>
  <c r="U111" i="11"/>
  <c r="U43" i="11"/>
  <c r="N43" i="11"/>
  <c r="U178" i="11"/>
  <c r="U110" i="11"/>
  <c r="U42" i="11"/>
  <c r="N42" i="11"/>
  <c r="U177" i="11"/>
  <c r="U109" i="11"/>
  <c r="U41" i="11"/>
  <c r="N41" i="11"/>
  <c r="U176" i="11"/>
  <c r="U108" i="11"/>
  <c r="U40" i="11"/>
  <c r="N40" i="11"/>
  <c r="U175" i="11"/>
  <c r="U107" i="11"/>
  <c r="U39" i="11"/>
  <c r="N39" i="11"/>
  <c r="U174" i="11"/>
  <c r="U106" i="11"/>
  <c r="U38" i="11"/>
  <c r="N38" i="11"/>
  <c r="U173" i="11"/>
  <c r="U105" i="11"/>
  <c r="U37" i="11"/>
  <c r="N37" i="11"/>
  <c r="U172" i="11"/>
  <c r="U104" i="11"/>
  <c r="U36" i="11"/>
  <c r="N36" i="11"/>
  <c r="U171" i="11"/>
  <c r="U103" i="11"/>
  <c r="U35" i="11"/>
  <c r="S223" i="11" s="1"/>
  <c r="N35" i="11"/>
  <c r="U170" i="11"/>
  <c r="U102" i="11"/>
  <c r="U34" i="11"/>
  <c r="N34" i="11"/>
  <c r="U169" i="11"/>
  <c r="U101" i="11"/>
  <c r="U33" i="11"/>
  <c r="N33" i="11"/>
  <c r="U168" i="11"/>
  <c r="U100" i="11"/>
  <c r="U32" i="11"/>
  <c r="N32" i="11"/>
  <c r="U167" i="11"/>
  <c r="U99" i="11"/>
  <c r="U31" i="11"/>
  <c r="S222" i="11" s="1"/>
  <c r="N31" i="11"/>
  <c r="U166" i="11"/>
  <c r="U98" i="11"/>
  <c r="U30" i="11"/>
  <c r="N30" i="11"/>
  <c r="U165" i="11"/>
  <c r="U97" i="11"/>
  <c r="U29" i="11"/>
  <c r="N29" i="11"/>
  <c r="U164" i="11"/>
  <c r="U96" i="11"/>
  <c r="U28" i="11"/>
  <c r="N28" i="11"/>
  <c r="U163" i="11"/>
  <c r="U95" i="11"/>
  <c r="U27" i="11"/>
  <c r="N27" i="11"/>
  <c r="U162" i="11"/>
  <c r="U94" i="11"/>
  <c r="U26" i="11"/>
  <c r="N26" i="11"/>
  <c r="U161" i="11"/>
  <c r="U93" i="11"/>
  <c r="U25" i="11"/>
  <c r="N25" i="11"/>
  <c r="U160" i="11"/>
  <c r="U92" i="11"/>
  <c r="U24" i="11"/>
  <c r="N24" i="11"/>
  <c r="U159" i="11"/>
  <c r="U91" i="11"/>
  <c r="U23" i="11"/>
  <c r="N23" i="11"/>
  <c r="U158" i="11"/>
  <c r="U90" i="11"/>
  <c r="U22" i="11"/>
  <c r="N22" i="11"/>
  <c r="U157" i="11"/>
  <c r="U89" i="11"/>
  <c r="U21" i="11"/>
  <c r="N21" i="11"/>
  <c r="U156" i="11"/>
  <c r="U88" i="11"/>
  <c r="U20" i="11"/>
  <c r="N20" i="11"/>
  <c r="U155" i="11"/>
  <c r="U87" i="11"/>
  <c r="U19" i="11"/>
  <c r="N19" i="11"/>
  <c r="U154" i="11"/>
  <c r="U86" i="11"/>
  <c r="U18" i="11"/>
  <c r="N18" i="11"/>
  <c r="U153" i="11"/>
  <c r="U85" i="11"/>
  <c r="U17" i="11"/>
  <c r="N17" i="11"/>
  <c r="U152" i="11"/>
  <c r="U84" i="11"/>
  <c r="U16" i="11"/>
  <c r="N16" i="11"/>
  <c r="U151" i="11"/>
  <c r="U83" i="11"/>
  <c r="U15" i="11"/>
  <c r="N15" i="11"/>
  <c r="U150" i="11"/>
  <c r="U82" i="11"/>
  <c r="U14" i="11"/>
  <c r="N14" i="11"/>
  <c r="U149" i="11"/>
  <c r="U81" i="11"/>
  <c r="U13" i="11"/>
  <c r="N13" i="11"/>
  <c r="U148" i="11"/>
  <c r="U80" i="11"/>
  <c r="U12" i="11"/>
  <c r="S221" i="11" s="1"/>
  <c r="N12" i="11"/>
  <c r="F23" i="12" l="1"/>
  <c r="E15" i="10" s="1"/>
  <c r="G16" i="12"/>
  <c r="G18" i="12" s="1"/>
  <c r="H16" i="12"/>
  <c r="E168" i="10" s="1"/>
  <c r="N214" i="11"/>
  <c r="T238" i="11"/>
  <c r="U216" i="11"/>
  <c r="T218" i="11" s="1"/>
  <c r="E73" i="10"/>
  <c r="E63" i="10"/>
  <c r="E53" i="10"/>
  <c r="F41" i="10"/>
  <c r="E31" i="10"/>
  <c r="E21" i="10"/>
  <c r="I75" i="8"/>
  <c r="G85" i="3"/>
  <c r="G85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F85" i="8"/>
  <c r="G84" i="8"/>
  <c r="F84" i="8"/>
  <c r="G83" i="8"/>
  <c r="F83" i="8"/>
  <c r="G82" i="8"/>
  <c r="F82" i="8"/>
  <c r="G81" i="8"/>
  <c r="F81" i="8"/>
  <c r="G80" i="8"/>
  <c r="F80" i="8"/>
  <c r="E68" i="10"/>
  <c r="F36" i="10"/>
  <c r="E26" i="10"/>
  <c r="E16" i="10"/>
  <c r="G65" i="7"/>
  <c r="G62" i="7"/>
  <c r="G61" i="7"/>
  <c r="G60" i="7"/>
  <c r="F65" i="7"/>
  <c r="F62" i="7"/>
  <c r="F61" i="7"/>
  <c r="F60" i="7"/>
  <c r="I55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E69" i="10"/>
  <c r="F37" i="10"/>
  <c r="E27" i="10"/>
  <c r="E17" i="10"/>
  <c r="E70" i="10"/>
  <c r="F38" i="10"/>
  <c r="E28" i="10"/>
  <c r="E18" i="10"/>
  <c r="E71" i="10"/>
  <c r="F39" i="10"/>
  <c r="E29" i="10"/>
  <c r="E19" i="10"/>
  <c r="G47" i="6"/>
  <c r="F47" i="6"/>
  <c r="G44" i="6"/>
  <c r="F44" i="6"/>
  <c r="G43" i="6"/>
  <c r="F43" i="6"/>
  <c r="G42" i="6"/>
  <c r="F42" i="6"/>
  <c r="I37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G39" i="5"/>
  <c r="F39" i="5"/>
  <c r="G36" i="5"/>
  <c r="F36" i="5"/>
  <c r="G35" i="5"/>
  <c r="F35" i="5"/>
  <c r="G34" i="5"/>
  <c r="F34" i="5"/>
  <c r="I29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G48" i="4"/>
  <c r="F48" i="4"/>
  <c r="G45" i="4"/>
  <c r="F45" i="4"/>
  <c r="G44" i="4"/>
  <c r="F44" i="4"/>
  <c r="F43" i="4"/>
  <c r="G43" i="4"/>
  <c r="I38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G84" i="3"/>
  <c r="G83" i="3"/>
  <c r="G82" i="3"/>
  <c r="G81" i="3"/>
  <c r="G80" i="3"/>
  <c r="F85" i="3"/>
  <c r="E74" i="10" s="1"/>
  <c r="F84" i="3"/>
  <c r="E64" i="10" s="1"/>
  <c r="F82" i="3"/>
  <c r="E22" i="10" s="1"/>
  <c r="F81" i="3"/>
  <c r="E32" i="10" s="1"/>
  <c r="F80" i="3"/>
  <c r="F42" i="10" s="1"/>
  <c r="I73" i="3"/>
  <c r="I75" i="3" s="1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41" i="3"/>
  <c r="I40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4" i="2"/>
  <c r="I43" i="2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G89" i="2"/>
  <c r="G86" i="2"/>
  <c r="G85" i="2"/>
  <c r="G84" i="2"/>
  <c r="F89" i="2"/>
  <c r="E75" i="10" s="1"/>
  <c r="F87" i="2"/>
  <c r="E55" i="10" s="1"/>
  <c r="F86" i="2"/>
  <c r="E23" i="10" s="1"/>
  <c r="F85" i="2"/>
  <c r="E33" i="10" s="1"/>
  <c r="F84" i="2"/>
  <c r="F43" i="10" s="1"/>
  <c r="I77" i="2"/>
  <c r="I76" i="2"/>
  <c r="I75" i="2"/>
  <c r="I74" i="2"/>
  <c r="I73" i="2"/>
  <c r="I72" i="2"/>
  <c r="I71" i="2"/>
  <c r="I70" i="2"/>
  <c r="I69" i="2"/>
  <c r="G87" i="2" s="1"/>
  <c r="I68" i="2"/>
  <c r="G88" i="2" s="1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15" i="2"/>
  <c r="I16" i="2"/>
  <c r="I17" i="2"/>
  <c r="I18" i="2"/>
  <c r="I19" i="2"/>
  <c r="I20" i="2"/>
  <c r="I21" i="2"/>
  <c r="I22" i="2"/>
  <c r="I23" i="2"/>
  <c r="I14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F88" i="2" s="1"/>
  <c r="E65" i="10" s="1"/>
  <c r="H71" i="2"/>
  <c r="H72" i="2"/>
  <c r="H73" i="2"/>
  <c r="H74" i="2"/>
  <c r="H75" i="2"/>
  <c r="H76" i="2"/>
  <c r="H77" i="2"/>
  <c r="F72" i="1"/>
  <c r="E72" i="1"/>
  <c r="E30" i="10" s="1"/>
  <c r="E178" i="10" l="1"/>
  <c r="G178" i="10" s="1"/>
  <c r="H178" i="10" s="1"/>
  <c r="G168" i="10"/>
  <c r="H168" i="10" s="1"/>
  <c r="G25" i="10"/>
  <c r="H25" i="10" s="1"/>
  <c r="I79" i="2"/>
  <c r="H79" i="2"/>
  <c r="F76" i="1" l="1"/>
  <c r="F75" i="1"/>
  <c r="F73" i="1"/>
  <c r="F71" i="1"/>
  <c r="H64" i="1"/>
  <c r="H57" i="1"/>
  <c r="F74" i="1" s="1"/>
  <c r="H58" i="1"/>
  <c r="H59" i="1"/>
  <c r="H60" i="1"/>
  <c r="H61" i="1"/>
  <c r="H62" i="1"/>
  <c r="H63" i="1"/>
  <c r="H56" i="1"/>
  <c r="H50" i="1"/>
  <c r="H51" i="1"/>
  <c r="H52" i="1"/>
  <c r="H53" i="1"/>
  <c r="H54" i="1"/>
  <c r="H55" i="1"/>
  <c r="H49" i="1"/>
  <c r="H39" i="1"/>
  <c r="H38" i="1"/>
  <c r="H36" i="1"/>
  <c r="H37" i="1"/>
  <c r="H35" i="1"/>
  <c r="H41" i="1"/>
  <c r="H42" i="1"/>
  <c r="H43" i="1"/>
  <c r="H44" i="1"/>
  <c r="H45" i="1"/>
  <c r="H46" i="1"/>
  <c r="H47" i="1"/>
  <c r="H48" i="1"/>
  <c r="H40" i="1"/>
  <c r="H23" i="1"/>
  <c r="H24" i="1"/>
  <c r="H25" i="1"/>
  <c r="H26" i="1"/>
  <c r="H27" i="1"/>
  <c r="H28" i="1"/>
  <c r="H29" i="1"/>
  <c r="H30" i="1"/>
  <c r="H31" i="1"/>
  <c r="H32" i="1"/>
  <c r="H33" i="1"/>
  <c r="H34" i="1"/>
  <c r="H22" i="1"/>
  <c r="E76" i="1"/>
  <c r="E72" i="10" s="1"/>
  <c r="G67" i="10" s="1"/>
  <c r="H67" i="10" s="1"/>
  <c r="H20" i="1"/>
  <c r="H21" i="1"/>
  <c r="H19" i="1"/>
  <c r="H11" i="1"/>
  <c r="H12" i="1"/>
  <c r="H13" i="1"/>
  <c r="H14" i="1"/>
  <c r="H15" i="1"/>
  <c r="H16" i="1"/>
  <c r="H17" i="1"/>
  <c r="H18" i="1"/>
  <c r="H10" i="1"/>
  <c r="E73" i="1"/>
  <c r="E20" i="10" s="1"/>
  <c r="G15" i="10" s="1"/>
  <c r="H15" i="10" s="1"/>
  <c r="E71" i="1"/>
  <c r="F40" i="10" s="1"/>
  <c r="G35" i="10" s="1"/>
  <c r="H35" i="10" s="1"/>
  <c r="H66" i="1" l="1"/>
  <c r="H73" i="8" l="1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G93" i="8"/>
  <c r="H19" i="8"/>
  <c r="G92" i="8"/>
  <c r="H18" i="8"/>
  <c r="G91" i="8"/>
  <c r="H17" i="8"/>
  <c r="G90" i="8"/>
  <c r="G94" i="8" s="1"/>
  <c r="H16" i="8"/>
  <c r="H15" i="8"/>
  <c r="H14" i="8"/>
  <c r="H13" i="8"/>
  <c r="H12" i="8"/>
  <c r="H11" i="8"/>
  <c r="H10" i="8"/>
  <c r="H9" i="8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G70" i="7"/>
  <c r="H14" i="7"/>
  <c r="G69" i="7"/>
  <c r="H13" i="7"/>
  <c r="H12" i="7"/>
  <c r="H11" i="7"/>
  <c r="H10" i="7"/>
  <c r="H9" i="7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G52" i="6"/>
  <c r="H19" i="6"/>
  <c r="G51" i="6"/>
  <c r="H18" i="6"/>
  <c r="H17" i="6"/>
  <c r="H16" i="6"/>
  <c r="H15" i="6"/>
  <c r="H14" i="6"/>
  <c r="H13" i="6"/>
  <c r="H12" i="6"/>
  <c r="H11" i="6"/>
  <c r="H10" i="6"/>
  <c r="H9" i="6"/>
  <c r="H27" i="5"/>
  <c r="H26" i="5"/>
  <c r="H25" i="5"/>
  <c r="H24" i="5"/>
  <c r="H23" i="5"/>
  <c r="H22" i="5"/>
  <c r="H21" i="5"/>
  <c r="H20" i="5"/>
  <c r="H19" i="5"/>
  <c r="H18" i="5"/>
  <c r="H17" i="5"/>
  <c r="H16" i="5"/>
  <c r="G43" i="5"/>
  <c r="G44" i="5" s="1"/>
  <c r="H15" i="5"/>
  <c r="H14" i="5"/>
  <c r="H13" i="5"/>
  <c r="H12" i="5"/>
  <c r="H11" i="5"/>
  <c r="H10" i="5"/>
  <c r="H9" i="5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G52" i="4"/>
  <c r="G53" i="4" s="1"/>
  <c r="H15" i="4"/>
  <c r="H14" i="4"/>
  <c r="H13" i="4"/>
  <c r="H12" i="4"/>
  <c r="H11" i="4"/>
  <c r="H10" i="4"/>
  <c r="H9" i="4"/>
  <c r="H73" i="3"/>
  <c r="H72" i="3"/>
  <c r="H71" i="3"/>
  <c r="H70" i="3"/>
  <c r="H69" i="3"/>
  <c r="H68" i="3"/>
  <c r="H67" i="3"/>
  <c r="H66" i="3"/>
  <c r="H65" i="3"/>
  <c r="F83" i="3" s="1"/>
  <c r="E54" i="10" s="1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G93" i="3"/>
  <c r="H21" i="3"/>
  <c r="G92" i="3"/>
  <c r="H20" i="3"/>
  <c r="G91" i="3"/>
  <c r="H19" i="3"/>
  <c r="G90" i="3"/>
  <c r="H18" i="3"/>
  <c r="H17" i="3"/>
  <c r="H16" i="3"/>
  <c r="H15" i="3"/>
  <c r="H14" i="3"/>
  <c r="H13" i="3"/>
  <c r="H12" i="3"/>
  <c r="H11" i="3"/>
  <c r="H10" i="3"/>
  <c r="H9" i="3"/>
  <c r="G97" i="2"/>
  <c r="G96" i="2"/>
  <c r="G95" i="2"/>
  <c r="G94" i="2"/>
  <c r="G81" i="2"/>
  <c r="F96" i="1"/>
  <c r="F95" i="1"/>
  <c r="F94" i="1"/>
  <c r="F93" i="1"/>
  <c r="F83" i="1"/>
  <c r="G64" i="1"/>
  <c r="E74" i="1" s="1"/>
  <c r="E52" i="10" s="1"/>
  <c r="G63" i="1"/>
  <c r="G62" i="1"/>
  <c r="G61" i="1"/>
  <c r="G60" i="1"/>
  <c r="G59" i="1"/>
  <c r="G58" i="1"/>
  <c r="G57" i="1"/>
  <c r="G56" i="1"/>
  <c r="E75" i="1" s="1"/>
  <c r="E62" i="10" s="1"/>
  <c r="G57" i="10" s="1"/>
  <c r="H57" i="10" s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47" i="10" l="1"/>
  <c r="H47" i="10" s="1"/>
  <c r="H75" i="8"/>
  <c r="G77" i="8" s="1"/>
  <c r="H55" i="7"/>
  <c r="G57" i="7" s="1"/>
  <c r="H37" i="6"/>
  <c r="G39" i="6" s="1"/>
  <c r="G53" i="6"/>
  <c r="H29" i="5"/>
  <c r="G31" i="5" s="1"/>
  <c r="H38" i="4"/>
  <c r="G40" i="4" s="1"/>
  <c r="H75" i="3"/>
  <c r="G77" i="3" s="1"/>
  <c r="G94" i="3"/>
  <c r="G98" i="2"/>
  <c r="G66" i="1"/>
  <c r="F68" i="1" s="1"/>
  <c r="F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Silveira Alencar</author>
  </authors>
  <commentList>
    <comment ref="K51" authorId="0" shapeId="0" xr:uid="{6026F231-9D96-4EAC-B5CE-96DB572E5A89}">
      <text>
        <r>
          <rPr>
            <b/>
            <sz val="9"/>
            <color indexed="81"/>
            <rFont val="Segoe UI"/>
            <charset val="1"/>
          </rPr>
          <t>Gabriel Silveira Alencar:</t>
        </r>
        <r>
          <rPr>
            <sz val="9"/>
            <color indexed="81"/>
            <rFont val="Segoe UI"/>
            <charset val="1"/>
          </rPr>
          <t xml:space="preserve">
1,05 KG equivalente ao peso da estrutura de projeto + 9% das perdas</t>
        </r>
      </text>
    </comment>
    <comment ref="K57" authorId="0" shapeId="0" xr:uid="{5A01E198-72E2-4105-94FE-8F1F5907749E}">
      <text>
        <r>
          <rPr>
            <b/>
            <sz val="9"/>
            <color indexed="81"/>
            <rFont val="Segoe UI"/>
            <charset val="1"/>
          </rPr>
          <t>Gabriel Silveira Alencar:</t>
        </r>
        <r>
          <rPr>
            <sz val="9"/>
            <color indexed="81"/>
            <rFont val="Segoe UI"/>
            <charset val="1"/>
          </rPr>
          <t xml:space="preserve">
1,05 KG equivalente ao peso da estrutura de projeto + 9% das perdas</t>
        </r>
      </text>
    </comment>
    <comment ref="K67" authorId="0" shapeId="0" xr:uid="{729E3474-816C-4289-AEB5-B8D5F899329B}">
      <text>
        <r>
          <rPr>
            <b/>
            <sz val="9"/>
            <color indexed="81"/>
            <rFont val="Segoe UI"/>
            <charset val="1"/>
          </rPr>
          <t>Gabriel Silveira Alencar:</t>
        </r>
        <r>
          <rPr>
            <sz val="9"/>
            <color indexed="81"/>
            <rFont val="Segoe UI"/>
            <charset val="1"/>
          </rPr>
          <t xml:space="preserve">
1,05 KG equivalente ao peso da estrutura de projeto + 9% das perdas</t>
        </r>
      </text>
    </comment>
    <comment ref="K77" authorId="0" shapeId="0" xr:uid="{674AC733-9825-4603-A626-ABA98078901A}">
      <text>
        <r>
          <rPr>
            <b/>
            <sz val="9"/>
            <color indexed="81"/>
            <rFont val="Segoe UI"/>
            <charset val="1"/>
          </rPr>
          <t>Gabriel Silveira Alencar:</t>
        </r>
        <r>
          <rPr>
            <sz val="9"/>
            <color indexed="81"/>
            <rFont val="Segoe UI"/>
            <charset val="1"/>
          </rPr>
          <t xml:space="preserve">
1,05 KG equivalente ao peso da estrutura de projeto + 9% das perdas</t>
        </r>
      </text>
    </comment>
    <comment ref="K101" authorId="0" shapeId="0" xr:uid="{8C8C3CE7-3886-4A5E-B0CB-408C2F90B5C4}">
      <text>
        <r>
          <rPr>
            <b/>
            <sz val="9"/>
            <color indexed="81"/>
            <rFont val="Segoe UI"/>
            <charset val="1"/>
          </rPr>
          <t>Gabriel Silveira Alencar:</t>
        </r>
        <r>
          <rPr>
            <sz val="9"/>
            <color indexed="81"/>
            <rFont val="Segoe UI"/>
            <charset val="1"/>
          </rPr>
          <t xml:space="preserve">
1,05 KG equivalente ao peso da estrutura de projeto + 9% das perdas</t>
        </r>
      </text>
    </comment>
    <comment ref="K168" authorId="0" shapeId="0" xr:uid="{31B18F4D-47C1-483B-A051-4A703D9D412A}">
      <text>
        <r>
          <rPr>
            <b/>
            <sz val="9"/>
            <color indexed="81"/>
            <rFont val="Segoe UI"/>
            <charset val="1"/>
          </rPr>
          <t>Gabriel Silveira Alencar:</t>
        </r>
        <r>
          <rPr>
            <sz val="9"/>
            <color indexed="81"/>
            <rFont val="Segoe UI"/>
            <charset val="1"/>
          </rPr>
          <t xml:space="preserve">
1,05 KG equivalente ao peso da estrutura de projeto + 9% das perdas</t>
        </r>
      </text>
    </comment>
    <comment ref="K178" authorId="0" shapeId="0" xr:uid="{D17AEF0D-13C3-4ED3-9CB7-C74D7432E302}">
      <text>
        <r>
          <rPr>
            <b/>
            <sz val="9"/>
            <color indexed="81"/>
            <rFont val="Segoe UI"/>
            <charset val="1"/>
          </rPr>
          <t>Gabriel Silveira Alencar:</t>
        </r>
        <r>
          <rPr>
            <sz val="9"/>
            <color indexed="81"/>
            <rFont val="Segoe UI"/>
            <charset val="1"/>
          </rPr>
          <t xml:space="preserve">
1,05 KG equivalente ao peso da estrutura de projeto + 9% das perdas</t>
        </r>
      </text>
    </comment>
  </commentList>
</comments>
</file>

<file path=xl/sharedStrings.xml><?xml version="1.0" encoding="utf-8"?>
<sst xmlns="http://schemas.openxmlformats.org/spreadsheetml/2006/main" count="2756" uniqueCount="149">
  <si>
    <t>RESUMO DE MATERIAL</t>
  </si>
  <si>
    <t>QTD</t>
  </si>
  <si>
    <t>PERFIL</t>
  </si>
  <si>
    <t>AÇO</t>
  </si>
  <si>
    <t>COPRIM.(mm)</t>
  </si>
  <si>
    <t>PESO(Kg)</t>
  </si>
  <si>
    <t>BRED.Ø12.7</t>
  </si>
  <si>
    <t>A36</t>
  </si>
  <si>
    <t>L44X44X3</t>
  </si>
  <si>
    <t>U137X50#2.00</t>
  </si>
  <si>
    <t>U150X70#4.75</t>
  </si>
  <si>
    <t>U150X100#6.35</t>
  </si>
  <si>
    <t>UE127X50X17#2.65</t>
  </si>
  <si>
    <t>UE150X60X20#3.04</t>
  </si>
  <si>
    <t>UE150X75X20#2.00</t>
  </si>
  <si>
    <t>UE150X75X20#3.04</t>
  </si>
  <si>
    <t>PESO TOTAL (Kg)</t>
  </si>
  <si>
    <t>U150X70#6.35</t>
  </si>
  <si>
    <t>TABELA - CALHAS</t>
  </si>
  <si>
    <t>PATIO CENTRAL</t>
  </si>
  <si>
    <t>SEÇÃO (mm)</t>
  </si>
  <si>
    <t>COMPR.(mm)</t>
  </si>
  <si>
    <t>PESO</t>
  </si>
  <si>
    <t>CALHA 400X200#20(MSG)</t>
  </si>
  <si>
    <t>CALHA 300X150#20(MSG)</t>
  </si>
  <si>
    <t>TOTAL (Kg)</t>
  </si>
  <si>
    <t>BLOCO G</t>
  </si>
  <si>
    <t>BLOCO J</t>
  </si>
  <si>
    <t>CALHA 450X150#20(MSG)</t>
  </si>
  <si>
    <t>BLOCO i</t>
  </si>
  <si>
    <t>REPÚBLICA FEDERATIVA DO BRASIL</t>
  </si>
  <si>
    <t>MINISTÉRIO DA EDUCAÇÃO</t>
  </si>
  <si>
    <t>SECRETARIA DA EDUCAÇÃO TECNOLÓGICA</t>
  </si>
  <si>
    <t>INSTITUTO DE EDUCAÇÃO CIENCIA E TECNOLOGIA DO AMAZONAS</t>
  </si>
  <si>
    <t>PRO-REITORIA DE ADMINISTRAÇÃO</t>
  </si>
  <si>
    <t>DIRETORIA DE INFRAESTRUTURA</t>
  </si>
  <si>
    <t>Objeto: Obra de Construção do IFAM campus Manicoré</t>
  </si>
  <si>
    <r>
      <rPr>
        <b/>
        <sz val="9"/>
        <color rgb="FF000000"/>
        <rFont val="Arial"/>
        <family val="2"/>
      </rPr>
      <t>Endereço:</t>
    </r>
    <r>
      <rPr>
        <sz val="9"/>
        <color rgb="FF000000"/>
        <rFont val="Arial"/>
        <family val="2"/>
      </rPr>
      <t xml:space="preserve"> </t>
    </r>
  </si>
  <si>
    <t>MEMÓRIA DE CÁLCULO</t>
  </si>
  <si>
    <t>4.11</t>
  </si>
  <si>
    <t>ESTRUTURA METÁLICA</t>
  </si>
  <si>
    <t>ESTRUTURA TRELIÇADA DE COBERTURA, TIPO FINK, COM LIGAÇÕES SOLDADAS, INCLUSOS PERFIS METÁLICOS, CHAPAS METÁLICAS, MÃO DE OBRA E TRANSPORTE COM GUINDASTE - FORNECIMENTO E INSTALAÇÃO. AF_01/2020_PSA</t>
  </si>
  <si>
    <t>BLOCO B</t>
  </si>
  <si>
    <t>BLOCO C</t>
  </si>
  <si>
    <t>BLOCO E</t>
  </si>
  <si>
    <t>BLOCO F</t>
  </si>
  <si>
    <t>BLOCO H</t>
  </si>
  <si>
    <t>BLOCO I</t>
  </si>
  <si>
    <t>CIRCULAÇÃO</t>
  </si>
  <si>
    <t>PILAR</t>
  </si>
  <si>
    <t>VIGA</t>
  </si>
  <si>
    <t>TRAMA</t>
  </si>
  <si>
    <t>MUDAR CANTONEIRA PARA BARRA</t>
  </si>
  <si>
    <t>PILAR METALICO</t>
  </si>
  <si>
    <t>MUDAR PERFIL PARA 40598 COEFICIENTE 1,14 / tirar pintura e jateamento</t>
  </si>
  <si>
    <t>MUDAR CANTONEIRA PARA BARRA tirar pintura e jatemento</t>
  </si>
  <si>
    <t>TRELIÇA</t>
  </si>
  <si>
    <t>PESO TOTAL(Kg)</t>
  </si>
  <si>
    <t>AREA DE PINTURA (M2)</t>
  </si>
  <si>
    <t>CONT</t>
  </si>
  <si>
    <t>TRELICA</t>
  </si>
  <si>
    <t>TOTAL KG</t>
  </si>
  <si>
    <t>PINTURA M2</t>
  </si>
  <si>
    <t>QUADRA</t>
  </si>
  <si>
    <t>CONTRAVENTAMENTO COM CANTONEIRA</t>
  </si>
  <si>
    <t>tirar pintura e jatemento</t>
  </si>
  <si>
    <t>CONTRAVENTAMENTO BARRA 12,7 MM</t>
  </si>
  <si>
    <t>CONTRAVENTAMENTO CANTONEIRA</t>
  </si>
  <si>
    <t>CONTC</t>
  </si>
  <si>
    <t>CONTRAVENTAMENTO BARRA</t>
  </si>
  <si>
    <t>CONTRAVENT BARRA</t>
  </si>
  <si>
    <t>CONTRAVENT CANTO</t>
  </si>
  <si>
    <t>Qty</t>
  </si>
  <si>
    <t>Profile</t>
  </si>
  <si>
    <t>Grade</t>
  </si>
  <si>
    <t>Length</t>
  </si>
  <si>
    <t>Weight(kg)</t>
  </si>
  <si>
    <t>BRØ12.7</t>
  </si>
  <si>
    <t>/BRØ12.7</t>
  </si>
  <si>
    <t>Total</t>
  </si>
  <si>
    <t>for</t>
  </si>
  <si>
    <t>members:</t>
  </si>
  <si>
    <t>END</t>
  </si>
  <si>
    <t>REPORT</t>
  </si>
  <si>
    <t>R16</t>
  </si>
  <si>
    <t>R20</t>
  </si>
  <si>
    <t>COPRIM. TOTA(m)</t>
  </si>
  <si>
    <t>TRELICAARCO</t>
  </si>
  <si>
    <t>TRELICAFINK</t>
  </si>
  <si>
    <t>TRELIÇA FINK</t>
  </si>
  <si>
    <t>TRELIÇA ARCO</t>
  </si>
  <si>
    <t>ESTRUTURA TRELIÇADA DE COBERTURA, TIPO ARCO, COM LIGAÇÕES SOLDADAS, INCLUSOS PERFIS METÁLICOS, CHAPAS METÁLICAS, MÃO DE OBRA E TRANSPORTE COM GUINDASTE - FORNECIMENTO E INSTALAÇÃO. AF_01/2020_PSA</t>
  </si>
  <si>
    <t>KG</t>
  </si>
  <si>
    <t>CONTRAVENTAMENTO BARRA 16 MM</t>
  </si>
  <si>
    <t>CONTRAVENTAMENTO BARRA 20 MM</t>
  </si>
  <si>
    <t>CONT20</t>
  </si>
  <si>
    <t>CONT16</t>
  </si>
  <si>
    <t>COMP NOVA 100766</t>
  </si>
  <si>
    <t>PINTURA COM TINTA ALQUÍDICA DE FUNDO (TIPO ZARCÃO) PULVERIZADA SOBRE PERFIL METÁLICO EXECUTADO EM FÁBRICA (POR DEMÃO). AF_01/2020_PE</t>
  </si>
  <si>
    <t>PINTURA COM TINTA ALQUÍDICA DE ACABAMENTO (ESMALTE SINTÉTICO FOSCO) PULVERIZADA SOBRE PERFIL METÁLICO EXECUTADO EM FÁBRICA (POR DEMÃO). AF_01/2020_PE</t>
  </si>
  <si>
    <t>M2</t>
  </si>
  <si>
    <t>CP-100775-81278751</t>
  </si>
  <si>
    <t>BARRAS DE 12,7</t>
  </si>
  <si>
    <t>BARRAS DE 16</t>
  </si>
  <si>
    <t>BARRAS DE 20</t>
  </si>
  <si>
    <t>CONTRAVENTAMENTO COM BARRAS DE AÇO DE 10 MM A 25 MM, COM CONEXÕES PARAFUSADAS, INCLUSOS MÃO DE OBRA, TRANSPORTE E IÇAMENTO UTILIZANDO TALHA MANUAL, PARA EDIFÍCIOS DE ATÉ 2 PAVIMENTOS - FORNECIMENTO E INSTALAÇÃO. AF_01/2020_PSA (SEM PINTURA)</t>
  </si>
  <si>
    <t>CP-100767-98757561</t>
  </si>
  <si>
    <t>CP-100767-06177154</t>
  </si>
  <si>
    <t>CP-100764-63973463</t>
  </si>
  <si>
    <t>VIGA METÁLICA EM PERFIL LAMINADO OU SOLDADO EM AÇO ESTRUTURAL, COM CONEXÕES SOLDADAS, INCLUSOS MÃO DE OBRA, TRANSPORTE E IÇAMENTO UTILIZANDO GUINDASTE - FORNECIMENTO E INSTALAÇÃO. AF_01/2020_PA (SEM PINTURA)</t>
  </si>
  <si>
    <t>TELHAMENTO COM TELHA DE AÇO/ALUMÍNIO E = 0,5 MM, COM ATÉ 2 ÁGUAS, INCLUSO IÇAMENTO. AF_07/2019</t>
  </si>
  <si>
    <t>COMP X LAR =55,3 X 38,48</t>
  </si>
  <si>
    <t>CP-94216-45182810</t>
  </si>
  <si>
    <t>TELHAMENTO COM TELHA METÁLICA TERMOACÚSTICA, FACE SUPERIOR TRAPEZOIDAL E FACE INFERIOR PLANA, REVEST COM ESPESSURA DE 0,50 MM, COM PRE-PINTURA DE COR BRANCA NAS DUAS FACES, NUCLEO EM POLIISOCIANURATO (PIR) E = 50 MM, COM ATÉ 2 ÁGUAS, INCLUSO IÇAMENTO. AF_07/2019</t>
  </si>
  <si>
    <t>CP-94228-96669162</t>
  </si>
  <si>
    <t>CALHA EM CHAPA DE AÇO GALVANIZADO NÚMERO 24, 15X30X15CM, INCLUSO TRANSPORTE VERTICAL. AF_07/2019</t>
  </si>
  <si>
    <t>CP-94228-72537785</t>
  </si>
  <si>
    <t>CALHA EM CHAPA DE AÇO GALVANIZADO NÚMERO 24, 15X45X15CM, INCLUSO TRANSPORTE VERTICAL. AF_07/2019</t>
  </si>
  <si>
    <t>CP-94228-74104588</t>
  </si>
  <si>
    <t>CALHA EM CHAPA DE AÇO GALVANIZADO NÚMERO 24, 20X35X20CM, INCLUSO TRANSPORTE VERTICAL. AF_07/2019</t>
  </si>
  <si>
    <t>CP-94228-53114812</t>
  </si>
  <si>
    <t>CALHA EM CHAPA DE AÇO GALVANIZADO NÚMERO 24, 15X42,5X15CM, INCLUSO TRANSPORTE VERTICAL. AF_07/2019</t>
  </si>
  <si>
    <t>CP-94228-09903864</t>
  </si>
  <si>
    <t>CALHA EM CHAPA DE AÇO GALVANIZADO NÚMERO 24, 20X40X20CM, INCLUSO TRANSPORTE VERTICAL. AF_07/2019</t>
  </si>
  <si>
    <t>CP-101979-94551302</t>
  </si>
  <si>
    <t>CHAPIM (RUFO CAPA) EM CHAPA AÇO GALVANIZADO NÚMERO 26, 6X21X6CM. AF_11/2020</t>
  </si>
  <si>
    <t>RUFO EXTERNO EM CHAPA DE AÇO GALVANIZADO NÚMERO 26,  6X25X43X7CM, INCLUSO IÇAMENTO. AF_07/2019</t>
  </si>
  <si>
    <t>CP-100327-88578152</t>
  </si>
  <si>
    <t>CP-100327-31679024</t>
  </si>
  <si>
    <t>CONTRARUFO EM CHAPA DE AÇO GALVANIZADO NÚMERO 26, 3X9X2X8CM, INCLUSO IÇAMENTO. AF_07/2019</t>
  </si>
  <si>
    <t>100X50X6,03</t>
  </si>
  <si>
    <t>75X40X4,75</t>
  </si>
  <si>
    <t>75X40X3</t>
  </si>
  <si>
    <t>LEMBRAR DE REVISAR OS PERFIS</t>
  </si>
  <si>
    <t>U - 100X50X6,03</t>
  </si>
  <si>
    <t>U - 75X40X4,75</t>
  </si>
  <si>
    <t>2XU - 75X40X3,00</t>
  </si>
  <si>
    <t>CIRCUL BLOCO J</t>
  </si>
  <si>
    <t>CIRCUL BLOCO I</t>
  </si>
  <si>
    <t>CIRCUL BLOCO H</t>
  </si>
  <si>
    <t>CIRCUL BLOCO G</t>
  </si>
  <si>
    <t>CIRCUL BLOCO D</t>
  </si>
  <si>
    <t>CIRCUL BLOCO F</t>
  </si>
  <si>
    <t>REFEITORIO</t>
  </si>
  <si>
    <t>CIRCUL BLOCO B</t>
  </si>
  <si>
    <t>CIRCULAÇÃO ENTRE BLOCOS</t>
  </si>
  <si>
    <t>M</t>
  </si>
  <si>
    <t>CUMEEIRA</t>
  </si>
  <si>
    <t>TELHA DE POLICARBONATO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</si>
</sst>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.m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i/>
      <sz val="10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i/>
      <sz val="10"/>
      <color rgb="FF000000"/>
      <name val="Arial"/>
      <family val="2"/>
    </font>
    <font>
      <sz val="11"/>
      <name val="Calibri"/>
      <family val="2"/>
    </font>
    <font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/>
      <right/>
      <top style="hair">
        <color rgb="FF00000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/>
      <right style="medium">
        <color rgb="FF000000"/>
      </right>
      <top style="double">
        <color indexed="64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double">
        <color rgb="FF000000"/>
      </bottom>
      <diagonal/>
    </border>
  </borders>
  <cellStyleXfs count="2">
    <xf numFmtId="0" fontId="0" fillId="0" borderId="0"/>
    <xf numFmtId="0" fontId="2" fillId="0" borderId="0"/>
  </cellStyleXfs>
  <cellXfs count="195">
    <xf numFmtId="0" fontId="0" fillId="0" borderId="0" xfId="0"/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4" borderId="0" xfId="1" applyFont="1" applyFill="1" applyBorder="1"/>
    <xf numFmtId="0" fontId="3" fillId="4" borderId="0" xfId="1" applyFont="1" applyFill="1" applyBorder="1" applyAlignment="1">
      <alignment horizontal="center" vertical="center"/>
    </xf>
    <xf numFmtId="0" fontId="2" fillId="0" borderId="0" xfId="1" applyFont="1" applyAlignment="1"/>
    <xf numFmtId="0" fontId="3" fillId="0" borderId="9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left" vertical="center"/>
    </xf>
    <xf numFmtId="0" fontId="6" fillId="0" borderId="0" xfId="1" applyFont="1"/>
    <xf numFmtId="0" fontId="3" fillId="0" borderId="0" xfId="1" applyFont="1"/>
    <xf numFmtId="0" fontId="3" fillId="0" borderId="0" xfId="1" applyFont="1" applyAlignment="1">
      <alignment horizontal="center" vertical="center"/>
    </xf>
    <xf numFmtId="165" fontId="11" fillId="6" borderId="16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3" fillId="0" borderId="22" xfId="1" applyFont="1" applyFill="1" applyBorder="1" applyAlignment="1">
      <alignment horizontal="center" vertical="center" wrapText="1"/>
    </xf>
    <xf numFmtId="2" fontId="12" fillId="0" borderId="23" xfId="1" applyNumberFormat="1" applyFont="1" applyFill="1" applyBorder="1" applyAlignment="1">
      <alignment horizontal="right" vertical="center" wrapText="1"/>
    </xf>
    <xf numFmtId="0" fontId="3" fillId="0" borderId="28" xfId="1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right" vertical="center" wrapText="1"/>
    </xf>
    <xf numFmtId="0" fontId="3" fillId="0" borderId="31" xfId="1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right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2" fontId="3" fillId="0" borderId="36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11" fillId="0" borderId="0" xfId="1" applyFont="1" applyAlignment="1">
      <alignment horizontal="center"/>
    </xf>
    <xf numFmtId="2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0" borderId="0" xfId="0" applyFill="1"/>
    <xf numFmtId="0" fontId="0" fillId="11" borderId="1" xfId="0" applyFill="1" applyBorder="1"/>
    <xf numFmtId="0" fontId="0" fillId="11" borderId="0" xfId="0" applyFill="1"/>
    <xf numFmtId="0" fontId="0" fillId="9" borderId="0" xfId="0" applyFill="1"/>
    <xf numFmtId="0" fontId="0" fillId="7" borderId="0" xfId="0" applyFill="1"/>
    <xf numFmtId="0" fontId="0" fillId="8" borderId="0" xfId="0" applyFill="1"/>
    <xf numFmtId="0" fontId="0" fillId="12" borderId="1" xfId="0" applyFill="1" applyBorder="1"/>
    <xf numFmtId="0" fontId="0" fillId="12" borderId="0" xfId="0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13" borderId="1" xfId="0" applyFill="1" applyBorder="1"/>
    <xf numFmtId="0" fontId="1" fillId="0" borderId="0" xfId="0" applyFont="1" applyFill="1" applyBorder="1" applyAlignment="1"/>
    <xf numFmtId="0" fontId="0" fillId="0" borderId="0" xfId="0" applyFill="1" applyBorder="1"/>
    <xf numFmtId="0" fontId="0" fillId="3" borderId="2" xfId="0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4" fontId="3" fillId="0" borderId="9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2" fillId="0" borderId="0" xfId="1" applyFont="1" applyAlignment="1"/>
    <xf numFmtId="14" fontId="0" fillId="0" borderId="0" xfId="0" applyNumberFormat="1"/>
    <xf numFmtId="21" fontId="0" fillId="0" borderId="0" xfId="0" applyNumberFormat="1"/>
    <xf numFmtId="0" fontId="0" fillId="14" borderId="1" xfId="0" applyFill="1" applyBorder="1"/>
    <xf numFmtId="0" fontId="2" fillId="0" borderId="0" xfId="1" applyFont="1" applyAlignment="1"/>
    <xf numFmtId="0" fontId="0" fillId="3" borderId="1" xfId="0" applyFill="1" applyBorder="1" applyAlignment="1">
      <alignment horizontal="center" wrapText="1"/>
    </xf>
    <xf numFmtId="4" fontId="3" fillId="0" borderId="9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2" fontId="3" fillId="0" borderId="24" xfId="1" applyNumberFormat="1" applyFont="1" applyFill="1" applyBorder="1" applyAlignment="1">
      <alignment horizontal="center" vertical="center" wrapText="1"/>
    </xf>
    <xf numFmtId="2" fontId="8" fillId="0" borderId="21" xfId="1" applyNumberFormat="1" applyFont="1" applyFill="1" applyBorder="1" applyAlignment="1">
      <alignment horizontal="center" vertical="center" wrapText="1"/>
    </xf>
    <xf numFmtId="0" fontId="2" fillId="0" borderId="0" xfId="1" applyFont="1" applyAlignment="1"/>
    <xf numFmtId="2" fontId="3" fillId="0" borderId="22" xfId="1" applyNumberFormat="1" applyFont="1" applyFill="1" applyBorder="1" applyAlignment="1">
      <alignment horizontal="center" vertical="center" wrapText="1"/>
    </xf>
    <xf numFmtId="2" fontId="3" fillId="0" borderId="28" xfId="1" applyNumberFormat="1" applyFont="1" applyFill="1" applyBorder="1" applyAlignment="1">
      <alignment horizontal="center" vertical="center" wrapText="1"/>
    </xf>
    <xf numFmtId="2" fontId="3" fillId="0" borderId="31" xfId="1" applyNumberFormat="1" applyFont="1" applyFill="1" applyBorder="1" applyAlignment="1">
      <alignment horizontal="center" vertical="center" wrapText="1"/>
    </xf>
    <xf numFmtId="2" fontId="3" fillId="0" borderId="32" xfId="1" applyNumberFormat="1" applyFont="1" applyFill="1" applyBorder="1" applyAlignment="1">
      <alignment horizontal="center" vertical="center" wrapText="1"/>
    </xf>
    <xf numFmtId="2" fontId="3" fillId="0" borderId="35" xfId="1" applyNumberFormat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10" fillId="7" borderId="21" xfId="1" applyFont="1" applyFill="1" applyBorder="1" applyAlignment="1">
      <alignment horizontal="left" vertical="center" wrapText="1"/>
    </xf>
    <xf numFmtId="0" fontId="3" fillId="7" borderId="22" xfId="1" applyFont="1" applyFill="1" applyBorder="1" applyAlignment="1">
      <alignment horizontal="center" vertical="center" wrapText="1"/>
    </xf>
    <xf numFmtId="2" fontId="3" fillId="7" borderId="22" xfId="1" applyNumberFormat="1" applyFont="1" applyFill="1" applyBorder="1" applyAlignment="1">
      <alignment horizontal="center" vertical="center" wrapText="1"/>
    </xf>
    <xf numFmtId="2" fontId="12" fillId="7" borderId="23" xfId="1" applyNumberFormat="1" applyFont="1" applyFill="1" applyBorder="1" applyAlignment="1">
      <alignment horizontal="right" vertical="center" wrapText="1"/>
    </xf>
    <xf numFmtId="2" fontId="3" fillId="7" borderId="24" xfId="1" applyNumberFormat="1" applyFont="1" applyFill="1" applyBorder="1" applyAlignment="1">
      <alignment horizontal="center" vertical="center" wrapText="1"/>
    </xf>
    <xf numFmtId="2" fontId="8" fillId="7" borderId="21" xfId="1" applyNumberFormat="1" applyFont="1" applyFill="1" applyBorder="1" applyAlignment="1">
      <alignment horizontal="center" vertical="center" wrapText="1"/>
    </xf>
    <xf numFmtId="0" fontId="8" fillId="7" borderId="25" xfId="1" applyFont="1" applyFill="1" applyBorder="1" applyAlignment="1">
      <alignment horizontal="center" vertical="center" wrapText="1"/>
    </xf>
    <xf numFmtId="2" fontId="3" fillId="7" borderId="28" xfId="1" applyNumberFormat="1" applyFont="1" applyFill="1" applyBorder="1" applyAlignment="1">
      <alignment horizontal="center" vertical="center" wrapText="1"/>
    </xf>
    <xf numFmtId="0" fontId="3" fillId="7" borderId="28" xfId="1" applyFont="1" applyFill="1" applyBorder="1" applyAlignment="1">
      <alignment horizontal="center" vertical="center" wrapText="1"/>
    </xf>
    <xf numFmtId="2" fontId="12" fillId="7" borderId="0" xfId="1" applyNumberFormat="1" applyFont="1" applyFill="1" applyBorder="1" applyAlignment="1">
      <alignment horizontal="right" vertical="center" wrapText="1"/>
    </xf>
    <xf numFmtId="0" fontId="3" fillId="7" borderId="31" xfId="1" applyFont="1" applyFill="1" applyBorder="1" applyAlignment="1">
      <alignment horizontal="center" vertical="center" wrapText="1"/>
    </xf>
    <xf numFmtId="2" fontId="3" fillId="7" borderId="31" xfId="1" applyNumberFormat="1" applyFont="1" applyFill="1" applyBorder="1" applyAlignment="1">
      <alignment horizontal="center" vertical="center" wrapText="1"/>
    </xf>
    <xf numFmtId="2" fontId="3" fillId="7" borderId="0" xfId="1" applyNumberFormat="1" applyFont="1" applyFill="1" applyBorder="1" applyAlignment="1">
      <alignment horizontal="right" vertical="center" wrapText="1"/>
    </xf>
    <xf numFmtId="0" fontId="3" fillId="7" borderId="32" xfId="1" applyFont="1" applyFill="1" applyBorder="1" applyAlignment="1">
      <alignment horizontal="center" vertical="center" wrapText="1"/>
    </xf>
    <xf numFmtId="2" fontId="3" fillId="7" borderId="32" xfId="1" applyNumberFormat="1" applyFont="1" applyFill="1" applyBorder="1" applyAlignment="1">
      <alignment horizontal="center" vertical="center" wrapText="1"/>
    </xf>
    <xf numFmtId="0" fontId="3" fillId="7" borderId="35" xfId="1" applyFont="1" applyFill="1" applyBorder="1" applyAlignment="1">
      <alignment horizontal="center" vertical="center" wrapText="1"/>
    </xf>
    <xf numFmtId="2" fontId="3" fillId="7" borderId="35" xfId="1" applyNumberFormat="1" applyFont="1" applyFill="1" applyBorder="1" applyAlignment="1">
      <alignment horizontal="center" vertical="center" wrapText="1"/>
    </xf>
    <xf numFmtId="2" fontId="3" fillId="7" borderId="36" xfId="1" applyNumberFormat="1" applyFont="1" applyFill="1" applyBorder="1" applyAlignment="1">
      <alignment horizontal="right" vertical="center" wrapText="1"/>
    </xf>
    <xf numFmtId="0" fontId="3" fillId="0" borderId="20" xfId="1" applyFont="1" applyFill="1" applyBorder="1" applyAlignment="1">
      <alignment vertical="center" wrapText="1"/>
    </xf>
    <xf numFmtId="0" fontId="10" fillId="0" borderId="21" xfId="1" applyFont="1" applyFill="1" applyBorder="1" applyAlignment="1">
      <alignment vertical="center" wrapText="1"/>
    </xf>
    <xf numFmtId="0" fontId="3" fillId="7" borderId="23" xfId="1" applyFont="1" applyFill="1" applyBorder="1" applyAlignment="1">
      <alignment horizontal="center" vertical="center" wrapText="1"/>
    </xf>
    <xf numFmtId="1" fontId="3" fillId="7" borderId="23" xfId="1" applyNumberFormat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2" fontId="3" fillId="0" borderId="23" xfId="1" applyNumberFormat="1" applyFont="1" applyFill="1" applyBorder="1" applyAlignment="1">
      <alignment horizontal="right" vertical="center" wrapText="1"/>
    </xf>
    <xf numFmtId="0" fontId="3" fillId="0" borderId="49" xfId="1" applyFont="1" applyFill="1" applyBorder="1" applyAlignment="1">
      <alignment horizontal="center" vertical="center" wrapText="1"/>
    </xf>
    <xf numFmtId="2" fontId="3" fillId="0" borderId="49" xfId="1" applyNumberFormat="1" applyFont="1" applyFill="1" applyBorder="1" applyAlignment="1">
      <alignment horizontal="center" vertical="center" wrapText="1"/>
    </xf>
    <xf numFmtId="2" fontId="3" fillId="0" borderId="50" xfId="1" applyNumberFormat="1" applyFont="1" applyFill="1" applyBorder="1" applyAlignment="1">
      <alignment horizontal="right" vertical="center" wrapText="1"/>
    </xf>
    <xf numFmtId="0" fontId="3" fillId="0" borderId="16" xfId="1" applyFont="1" applyFill="1" applyBorder="1" applyAlignment="1">
      <alignment vertical="center" wrapText="1"/>
    </xf>
    <xf numFmtId="0" fontId="10" fillId="0" borderId="51" xfId="1" applyFont="1" applyFill="1" applyBorder="1" applyAlignment="1">
      <alignment vertical="center" wrapText="1"/>
    </xf>
    <xf numFmtId="0" fontId="3" fillId="0" borderId="18" xfId="1" applyFont="1" applyFill="1" applyBorder="1" applyAlignment="1">
      <alignment horizontal="center" vertical="center" wrapText="1"/>
    </xf>
    <xf numFmtId="2" fontId="3" fillId="0" borderId="18" xfId="1" applyNumberFormat="1" applyFont="1" applyFill="1" applyBorder="1" applyAlignment="1">
      <alignment horizontal="center" vertical="center" wrapText="1"/>
    </xf>
    <xf numFmtId="2" fontId="12" fillId="0" borderId="18" xfId="1" applyNumberFormat="1" applyFont="1" applyFill="1" applyBorder="1" applyAlignment="1">
      <alignment horizontal="right" vertical="center" wrapText="1"/>
    </xf>
    <xf numFmtId="0" fontId="8" fillId="0" borderId="53" xfId="1" applyFont="1" applyFill="1" applyBorder="1" applyAlignment="1">
      <alignment horizontal="center" vertical="center" wrapText="1"/>
    </xf>
    <xf numFmtId="2" fontId="3" fillId="7" borderId="49" xfId="1" applyNumberFormat="1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 vertical="center" wrapText="1"/>
    </xf>
    <xf numFmtId="2" fontId="8" fillId="0" borderId="51" xfId="1" applyNumberFormat="1" applyFont="1" applyFill="1" applyBorder="1" applyAlignment="1">
      <alignment horizontal="center" vertical="center" wrapText="1"/>
    </xf>
    <xf numFmtId="2" fontId="3" fillId="0" borderId="24" xfId="1" applyNumberFormat="1" applyFont="1" applyFill="1" applyBorder="1" applyAlignment="1">
      <alignment horizontal="center" vertical="center" wrapText="1"/>
    </xf>
    <xf numFmtId="2" fontId="8" fillId="0" borderId="21" xfId="1" applyNumberFormat="1" applyFont="1" applyFill="1" applyBorder="1" applyAlignment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/>
    </xf>
    <xf numFmtId="0" fontId="2" fillId="0" borderId="0" xfId="1" applyFont="1" applyAlignment="1"/>
    <xf numFmtId="4" fontId="3" fillId="0" borderId="9" xfId="1" applyNumberFormat="1" applyFont="1" applyFill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5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4" fillId="0" borderId="0" xfId="1" applyFont="1" applyAlignment="1">
      <alignment horizontal="center"/>
    </xf>
    <xf numFmtId="0" fontId="2" fillId="0" borderId="0" xfId="1" applyFont="1" applyAlignment="1"/>
    <xf numFmtId="0" fontId="8" fillId="4" borderId="0" xfId="1" applyFont="1" applyFill="1" applyBorder="1" applyAlignment="1">
      <alignment horizontal="left" vertical="center"/>
    </xf>
    <xf numFmtId="0" fontId="9" fillId="0" borderId="0" xfId="1" applyFont="1" applyBorder="1"/>
    <xf numFmtId="2" fontId="11" fillId="5" borderId="13" xfId="1" applyNumberFormat="1" applyFont="1" applyFill="1" applyBorder="1" applyAlignment="1">
      <alignment horizontal="center" vertical="center"/>
    </xf>
    <xf numFmtId="0" fontId="9" fillId="0" borderId="14" xfId="1" applyFont="1" applyBorder="1"/>
    <xf numFmtId="0" fontId="9" fillId="0" borderId="15" xfId="1" applyFont="1" applyBorder="1"/>
    <xf numFmtId="0" fontId="8" fillId="6" borderId="17" xfId="1" applyFont="1" applyFill="1" applyBorder="1" applyAlignment="1">
      <alignment horizontal="left" vertical="center" wrapText="1"/>
    </xf>
    <xf numFmtId="0" fontId="8" fillId="6" borderId="18" xfId="1" applyFont="1" applyFill="1" applyBorder="1" applyAlignment="1">
      <alignment horizontal="left" vertical="center" wrapText="1"/>
    </xf>
    <xf numFmtId="0" fontId="8" fillId="6" borderId="19" xfId="1" applyFont="1" applyFill="1" applyBorder="1" applyAlignment="1">
      <alignment horizontal="left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3" fillId="7" borderId="26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10" fillId="7" borderId="21" xfId="1" applyFont="1" applyFill="1" applyBorder="1" applyAlignment="1">
      <alignment horizontal="left" vertical="center" wrapText="1"/>
    </xf>
    <xf numFmtId="0" fontId="10" fillId="7" borderId="27" xfId="1" applyFont="1" applyFill="1" applyBorder="1" applyAlignment="1">
      <alignment horizontal="left" vertical="center" wrapText="1"/>
    </xf>
    <xf numFmtId="0" fontId="10" fillId="7" borderId="34" xfId="1" applyFont="1" applyFill="1" applyBorder="1" applyAlignment="1">
      <alignment horizontal="left" vertical="center" wrapText="1"/>
    </xf>
    <xf numFmtId="2" fontId="3" fillId="7" borderId="24" xfId="1" applyNumberFormat="1" applyFont="1" applyFill="1" applyBorder="1" applyAlignment="1">
      <alignment horizontal="center" vertical="center" wrapText="1"/>
    </xf>
    <xf numFmtId="2" fontId="3" fillId="7" borderId="29" xfId="1" applyNumberFormat="1" applyFont="1" applyFill="1" applyBorder="1" applyAlignment="1">
      <alignment horizontal="center" vertical="center" wrapText="1"/>
    </xf>
    <xf numFmtId="0" fontId="3" fillId="7" borderId="29" xfId="1" applyFont="1" applyFill="1" applyBorder="1" applyAlignment="1">
      <alignment horizontal="center" vertical="center" wrapText="1"/>
    </xf>
    <xf numFmtId="0" fontId="3" fillId="7" borderId="37" xfId="1" applyFont="1" applyFill="1" applyBorder="1" applyAlignment="1">
      <alignment horizontal="center" vertical="center" wrapText="1"/>
    </xf>
    <xf numFmtId="2" fontId="8" fillId="7" borderId="21" xfId="1" applyNumberFormat="1" applyFont="1" applyFill="1" applyBorder="1" applyAlignment="1">
      <alignment horizontal="center" vertical="center" wrapText="1"/>
    </xf>
    <xf numFmtId="2" fontId="8" fillId="7" borderId="27" xfId="1" applyNumberFormat="1" applyFont="1" applyFill="1" applyBorder="1" applyAlignment="1">
      <alignment horizontal="center" vertical="center" wrapText="1"/>
    </xf>
    <xf numFmtId="2" fontId="8" fillId="7" borderId="34" xfId="1" applyNumberFormat="1" applyFont="1" applyFill="1" applyBorder="1" applyAlignment="1">
      <alignment horizontal="center" vertical="center" wrapText="1"/>
    </xf>
    <xf numFmtId="0" fontId="8" fillId="7" borderId="25" xfId="1" applyFont="1" applyFill="1" applyBorder="1" applyAlignment="1">
      <alignment horizontal="center" vertical="center" wrapText="1"/>
    </xf>
    <xf numFmtId="0" fontId="8" fillId="7" borderId="30" xfId="1" applyFont="1" applyFill="1" applyBorder="1" applyAlignment="1">
      <alignment horizontal="center" vertical="center" wrapText="1"/>
    </xf>
    <xf numFmtId="0" fontId="8" fillId="7" borderId="38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left"/>
    </xf>
    <xf numFmtId="0" fontId="10" fillId="0" borderId="12" xfId="1" applyFont="1" applyFill="1" applyBorder="1" applyAlignment="1">
      <alignment horizontal="left"/>
    </xf>
    <xf numFmtId="0" fontId="8" fillId="6" borderId="45" xfId="1" applyFont="1" applyFill="1" applyBorder="1" applyAlignment="1">
      <alignment horizontal="left" vertical="center" wrapText="1"/>
    </xf>
    <xf numFmtId="0" fontId="8" fillId="6" borderId="46" xfId="1" applyFont="1" applyFill="1" applyBorder="1" applyAlignment="1">
      <alignment horizontal="left" vertical="center" wrapText="1"/>
    </xf>
    <xf numFmtId="0" fontId="8" fillId="6" borderId="47" xfId="1" applyFont="1" applyFill="1" applyBorder="1" applyAlignment="1">
      <alignment horizontal="left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0" fontId="10" fillId="0" borderId="34" xfId="1" applyFont="1" applyFill="1" applyBorder="1" applyAlignment="1">
      <alignment horizontal="left" vertical="center" wrapText="1"/>
    </xf>
    <xf numFmtId="2" fontId="3" fillId="0" borderId="24" xfId="1" applyNumberFormat="1" applyFont="1" applyFill="1" applyBorder="1" applyAlignment="1">
      <alignment horizontal="center" vertical="center" wrapText="1"/>
    </xf>
    <xf numFmtId="2" fontId="3" fillId="0" borderId="29" xfId="1" applyNumberFormat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2" fontId="8" fillId="0" borderId="21" xfId="1" applyNumberFormat="1" applyFont="1" applyFill="1" applyBorder="1" applyAlignment="1">
      <alignment horizontal="center" vertical="center" wrapText="1"/>
    </xf>
    <xf numFmtId="2" fontId="8" fillId="0" borderId="27" xfId="1" applyNumberFormat="1" applyFont="1" applyFill="1" applyBorder="1" applyAlignment="1">
      <alignment horizontal="center" vertical="center" wrapText="1"/>
    </xf>
    <xf numFmtId="2" fontId="8" fillId="0" borderId="34" xfId="1" applyNumberFormat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center" vertical="center" wrapText="1"/>
    </xf>
    <xf numFmtId="2" fontId="3" fillId="0" borderId="48" xfId="1" applyNumberFormat="1" applyFont="1" applyFill="1" applyBorder="1" applyAlignment="1">
      <alignment horizontal="center" vertical="center" wrapText="1"/>
    </xf>
    <xf numFmtId="2" fontId="8" fillId="0" borderId="40" xfId="1" applyNumberFormat="1" applyFont="1" applyFill="1" applyBorder="1" applyAlignment="1">
      <alignment horizontal="center" vertical="center" wrapText="1"/>
    </xf>
    <xf numFmtId="0" fontId="8" fillId="0" borderId="44" xfId="1" applyFont="1" applyFill="1" applyBorder="1" applyAlignment="1">
      <alignment horizontal="center" vertical="center" wrapText="1"/>
    </xf>
    <xf numFmtId="0" fontId="10" fillId="7" borderId="39" xfId="1" applyFont="1" applyFill="1" applyBorder="1" applyAlignment="1">
      <alignment horizontal="left" vertical="center" wrapText="1"/>
    </xf>
    <xf numFmtId="0" fontId="10" fillId="7" borderId="40" xfId="1" applyFont="1" applyFill="1" applyBorder="1" applyAlignment="1">
      <alignment horizontal="left" vertical="center" wrapText="1"/>
    </xf>
    <xf numFmtId="0" fontId="3" fillId="7" borderId="41" xfId="1" applyFont="1" applyFill="1" applyBorder="1" applyAlignment="1">
      <alignment horizontal="center" vertical="center" wrapText="1"/>
    </xf>
    <xf numFmtId="0" fontId="3" fillId="7" borderId="42" xfId="1" applyFont="1" applyFill="1" applyBorder="1" applyAlignment="1">
      <alignment horizontal="center" vertical="center" wrapText="1"/>
    </xf>
    <xf numFmtId="2" fontId="8" fillId="7" borderId="39" xfId="1" applyNumberFormat="1" applyFont="1" applyFill="1" applyBorder="1" applyAlignment="1">
      <alignment horizontal="center" vertical="center" wrapText="1"/>
    </xf>
    <xf numFmtId="2" fontId="8" fillId="7" borderId="40" xfId="1" applyNumberFormat="1" applyFont="1" applyFill="1" applyBorder="1" applyAlignment="1">
      <alignment horizontal="center" vertical="center" wrapText="1"/>
    </xf>
    <xf numFmtId="0" fontId="8" fillId="7" borderId="43" xfId="1" applyFont="1" applyFill="1" applyBorder="1" applyAlignment="1">
      <alignment horizontal="center" vertical="center" wrapText="1"/>
    </xf>
    <xf numFmtId="0" fontId="8" fillId="7" borderId="44" xfId="1" applyFont="1" applyFill="1" applyBorder="1" applyAlignment="1">
      <alignment horizontal="center" vertical="center" wrapText="1"/>
    </xf>
    <xf numFmtId="2" fontId="3" fillId="0" borderId="37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40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D5F727C-F5B3-406E-92E7-74C047F3C7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-9525</xdr:colOff>
      <xdr:row>10</xdr:row>
      <xdr:rowOff>0</xdr:rowOff>
    </xdr:from>
    <xdr:ext cx="28575" cy="95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54F0B44-0D6D-43F8-B66F-0EE759B2DA4D}"/>
            </a:ext>
          </a:extLst>
        </xdr:cNvPr>
        <xdr:cNvSpPr/>
      </xdr:nvSpPr>
      <xdr:spPr>
        <a:xfrm>
          <a:off x="7793355" y="182118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-19050</xdr:colOff>
      <xdr:row>10</xdr:row>
      <xdr:rowOff>0</xdr:rowOff>
    </xdr:from>
    <xdr:ext cx="38100" cy="952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55286E75-0C60-4A52-BC37-7AC8727D570C}"/>
            </a:ext>
          </a:extLst>
        </xdr:cNvPr>
        <xdr:cNvSpPr/>
      </xdr:nvSpPr>
      <xdr:spPr>
        <a:xfrm>
          <a:off x="10222230" y="182118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-9525</xdr:colOff>
      <xdr:row>9</xdr:row>
      <xdr:rowOff>0</xdr:rowOff>
    </xdr:from>
    <xdr:ext cx="38100" cy="952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DD19563A-1FAF-4210-BB69-790671FE2DC6}"/>
            </a:ext>
          </a:extLst>
        </xdr:cNvPr>
        <xdr:cNvSpPr/>
      </xdr:nvSpPr>
      <xdr:spPr>
        <a:xfrm>
          <a:off x="7793355" y="16459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-19050</xdr:colOff>
      <xdr:row>9</xdr:row>
      <xdr:rowOff>0</xdr:rowOff>
    </xdr:from>
    <xdr:ext cx="38100" cy="9525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7A80C51F-8FD8-4C27-A62D-E7508146C503}"/>
            </a:ext>
          </a:extLst>
        </xdr:cNvPr>
        <xdr:cNvSpPr/>
      </xdr:nvSpPr>
      <xdr:spPr>
        <a:xfrm>
          <a:off x="10222230" y="16459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-9525</xdr:colOff>
      <xdr:row>9</xdr:row>
      <xdr:rowOff>0</xdr:rowOff>
    </xdr:from>
    <xdr:ext cx="38100" cy="9525"/>
    <xdr:sp macro="" textlink="">
      <xdr:nvSpPr>
        <xdr:cNvPr id="6" name="Shape 5">
          <a:extLst>
            <a:ext uri="{FF2B5EF4-FFF2-40B4-BE49-F238E27FC236}">
              <a16:creationId xmlns:a16="http://schemas.microsoft.com/office/drawing/2014/main" id="{637B4ED6-F960-43D6-9DBE-20DE133BCD38}"/>
            </a:ext>
          </a:extLst>
        </xdr:cNvPr>
        <xdr:cNvSpPr/>
      </xdr:nvSpPr>
      <xdr:spPr>
        <a:xfrm>
          <a:off x="10231755" y="16459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37A00523-6232-4AEA-B0BC-63188E674B82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8" name="Shape 5">
          <a:extLst>
            <a:ext uri="{FF2B5EF4-FFF2-40B4-BE49-F238E27FC236}">
              <a16:creationId xmlns:a16="http://schemas.microsoft.com/office/drawing/2014/main" id="{F8A4AB0D-16F5-4AA6-8728-047BA5A70116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9" name="Shape 5">
          <a:extLst>
            <a:ext uri="{FF2B5EF4-FFF2-40B4-BE49-F238E27FC236}">
              <a16:creationId xmlns:a16="http://schemas.microsoft.com/office/drawing/2014/main" id="{347295F9-EFAC-44B7-B7B9-F30D8AB04260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10" name="Shape 5">
          <a:extLst>
            <a:ext uri="{FF2B5EF4-FFF2-40B4-BE49-F238E27FC236}">
              <a16:creationId xmlns:a16="http://schemas.microsoft.com/office/drawing/2014/main" id="{8FB33F3A-7F7C-4B58-B17A-A34C8D6522E0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11" name="Shape 5">
          <a:extLst>
            <a:ext uri="{FF2B5EF4-FFF2-40B4-BE49-F238E27FC236}">
              <a16:creationId xmlns:a16="http://schemas.microsoft.com/office/drawing/2014/main" id="{A6A4E8FF-9ED8-491B-8CA8-5D8710B907C1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B64B8C5-C679-449C-A4F2-A272ABE7B538}"/>
            </a:ext>
          </a:extLst>
        </xdr:cNvPr>
        <xdr:cNvSpPr/>
      </xdr:nvSpPr>
      <xdr:spPr>
        <a:xfrm>
          <a:off x="7783830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13" name="Shape 5">
          <a:extLst>
            <a:ext uri="{FF2B5EF4-FFF2-40B4-BE49-F238E27FC236}">
              <a16:creationId xmlns:a16="http://schemas.microsoft.com/office/drawing/2014/main" id="{01C69D58-CD9C-4DEF-92DD-C2CFC2831483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14" name="Shape 4">
          <a:extLst>
            <a:ext uri="{FF2B5EF4-FFF2-40B4-BE49-F238E27FC236}">
              <a16:creationId xmlns:a16="http://schemas.microsoft.com/office/drawing/2014/main" id="{63C6EAE6-72B1-4C11-96F8-F71E882F1D57}"/>
            </a:ext>
          </a:extLst>
        </xdr:cNvPr>
        <xdr:cNvSpPr/>
      </xdr:nvSpPr>
      <xdr:spPr>
        <a:xfrm>
          <a:off x="7783830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15" name="Shape 6">
          <a:extLst>
            <a:ext uri="{FF2B5EF4-FFF2-40B4-BE49-F238E27FC236}">
              <a16:creationId xmlns:a16="http://schemas.microsoft.com/office/drawing/2014/main" id="{CEF0384A-DE0D-4CCD-AC97-6BBE262E6435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16" name="Shape 6">
          <a:extLst>
            <a:ext uri="{FF2B5EF4-FFF2-40B4-BE49-F238E27FC236}">
              <a16:creationId xmlns:a16="http://schemas.microsoft.com/office/drawing/2014/main" id="{D5DFDA9C-3306-4A64-8C11-0E5176BDB962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17" name="Shape 6">
          <a:extLst>
            <a:ext uri="{FF2B5EF4-FFF2-40B4-BE49-F238E27FC236}">
              <a16:creationId xmlns:a16="http://schemas.microsoft.com/office/drawing/2014/main" id="{579A4BF2-7474-4926-B65D-000424C608CB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18" name="Shape 6">
          <a:extLst>
            <a:ext uri="{FF2B5EF4-FFF2-40B4-BE49-F238E27FC236}">
              <a16:creationId xmlns:a16="http://schemas.microsoft.com/office/drawing/2014/main" id="{3F3C214C-A1F9-4D7F-892B-FF0CB9251449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19" name="Shape 6">
          <a:extLst>
            <a:ext uri="{FF2B5EF4-FFF2-40B4-BE49-F238E27FC236}">
              <a16:creationId xmlns:a16="http://schemas.microsoft.com/office/drawing/2014/main" id="{5A48D7C8-3EE2-4A1B-9F19-42993E39845E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0" name="Shape 6">
          <a:extLst>
            <a:ext uri="{FF2B5EF4-FFF2-40B4-BE49-F238E27FC236}">
              <a16:creationId xmlns:a16="http://schemas.microsoft.com/office/drawing/2014/main" id="{72530EC5-E2BC-4E16-9008-DA7E618091E4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1" name="Shape 6">
          <a:extLst>
            <a:ext uri="{FF2B5EF4-FFF2-40B4-BE49-F238E27FC236}">
              <a16:creationId xmlns:a16="http://schemas.microsoft.com/office/drawing/2014/main" id="{53A8DDF3-A552-4DEC-B393-0A9B9BA8BEB2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2" name="Shape 6">
          <a:extLst>
            <a:ext uri="{FF2B5EF4-FFF2-40B4-BE49-F238E27FC236}">
              <a16:creationId xmlns:a16="http://schemas.microsoft.com/office/drawing/2014/main" id="{6F51ECAA-8B62-483D-8CC8-1EEE24498DAF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3" name="Shape 6">
          <a:extLst>
            <a:ext uri="{FF2B5EF4-FFF2-40B4-BE49-F238E27FC236}">
              <a16:creationId xmlns:a16="http://schemas.microsoft.com/office/drawing/2014/main" id="{20CA3A2B-7C54-4346-A926-93993BBC7F8A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4" name="Shape 5">
          <a:extLst>
            <a:ext uri="{FF2B5EF4-FFF2-40B4-BE49-F238E27FC236}">
              <a16:creationId xmlns:a16="http://schemas.microsoft.com/office/drawing/2014/main" id="{3759824B-B352-4235-8163-373F96281E1C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5" name="Shape 5">
          <a:extLst>
            <a:ext uri="{FF2B5EF4-FFF2-40B4-BE49-F238E27FC236}">
              <a16:creationId xmlns:a16="http://schemas.microsoft.com/office/drawing/2014/main" id="{9B6853A2-31ED-4F93-9CDE-939D643DACA1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6" name="Shape 5">
          <a:extLst>
            <a:ext uri="{FF2B5EF4-FFF2-40B4-BE49-F238E27FC236}">
              <a16:creationId xmlns:a16="http://schemas.microsoft.com/office/drawing/2014/main" id="{F570EF50-C9A0-43D7-ADF7-BFAB8F238AC6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7" name="Shape 5">
          <a:extLst>
            <a:ext uri="{FF2B5EF4-FFF2-40B4-BE49-F238E27FC236}">
              <a16:creationId xmlns:a16="http://schemas.microsoft.com/office/drawing/2014/main" id="{D98E7FBE-B957-434A-8000-59FDE5045EE4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8" name="Shape 5">
          <a:extLst>
            <a:ext uri="{FF2B5EF4-FFF2-40B4-BE49-F238E27FC236}">
              <a16:creationId xmlns:a16="http://schemas.microsoft.com/office/drawing/2014/main" id="{EBB9C13C-7325-4987-A051-DA5A54CE6218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29" name="Shape 5">
          <a:extLst>
            <a:ext uri="{FF2B5EF4-FFF2-40B4-BE49-F238E27FC236}">
              <a16:creationId xmlns:a16="http://schemas.microsoft.com/office/drawing/2014/main" id="{6BA9743A-A5B6-4CB5-B0EF-5E791C683A51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30" name="Shape 5">
          <a:extLst>
            <a:ext uri="{FF2B5EF4-FFF2-40B4-BE49-F238E27FC236}">
              <a16:creationId xmlns:a16="http://schemas.microsoft.com/office/drawing/2014/main" id="{5075D89D-6549-4C40-9080-3676791EA6D8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31" name="Shape 5">
          <a:extLst>
            <a:ext uri="{FF2B5EF4-FFF2-40B4-BE49-F238E27FC236}">
              <a16:creationId xmlns:a16="http://schemas.microsoft.com/office/drawing/2014/main" id="{9FB8D954-6B30-43A0-A24E-4C54DB350A06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32" name="Shape 6">
          <a:extLst>
            <a:ext uri="{FF2B5EF4-FFF2-40B4-BE49-F238E27FC236}">
              <a16:creationId xmlns:a16="http://schemas.microsoft.com/office/drawing/2014/main" id="{3646199D-39F9-464A-AE17-AADF35DBFDE3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33" name="Shape 6">
          <a:extLst>
            <a:ext uri="{FF2B5EF4-FFF2-40B4-BE49-F238E27FC236}">
              <a16:creationId xmlns:a16="http://schemas.microsoft.com/office/drawing/2014/main" id="{477B2DEC-0ADA-486B-8371-EA25DBE7E1C0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34" name="Shape 6">
          <a:extLst>
            <a:ext uri="{FF2B5EF4-FFF2-40B4-BE49-F238E27FC236}">
              <a16:creationId xmlns:a16="http://schemas.microsoft.com/office/drawing/2014/main" id="{92C9782D-AE64-4D41-8340-8E003224F92D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35" name="Shape 6">
          <a:extLst>
            <a:ext uri="{FF2B5EF4-FFF2-40B4-BE49-F238E27FC236}">
              <a16:creationId xmlns:a16="http://schemas.microsoft.com/office/drawing/2014/main" id="{419FE16D-56BD-4594-A070-A41371D1C75E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36" name="Shape 6">
          <a:extLst>
            <a:ext uri="{FF2B5EF4-FFF2-40B4-BE49-F238E27FC236}">
              <a16:creationId xmlns:a16="http://schemas.microsoft.com/office/drawing/2014/main" id="{64DC0BDB-46D7-47DB-93B7-41751FE53870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37" name="Shape 7">
          <a:extLst>
            <a:ext uri="{FF2B5EF4-FFF2-40B4-BE49-F238E27FC236}">
              <a16:creationId xmlns:a16="http://schemas.microsoft.com/office/drawing/2014/main" id="{433D0C7B-D4A0-4F1C-8A51-5544205056FA}"/>
            </a:ext>
          </a:extLst>
        </xdr:cNvPr>
        <xdr:cNvSpPr/>
      </xdr:nvSpPr>
      <xdr:spPr>
        <a:xfrm>
          <a:off x="7783830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38" name="Shape 6">
          <a:extLst>
            <a:ext uri="{FF2B5EF4-FFF2-40B4-BE49-F238E27FC236}">
              <a16:creationId xmlns:a16="http://schemas.microsoft.com/office/drawing/2014/main" id="{0EF35595-95DE-4859-8323-2ACD6629F2A8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39" name="Shape 7">
          <a:extLst>
            <a:ext uri="{FF2B5EF4-FFF2-40B4-BE49-F238E27FC236}">
              <a16:creationId xmlns:a16="http://schemas.microsoft.com/office/drawing/2014/main" id="{FBAC6F6A-760C-4DA1-AE82-919786312A7E}"/>
            </a:ext>
          </a:extLst>
        </xdr:cNvPr>
        <xdr:cNvSpPr/>
      </xdr:nvSpPr>
      <xdr:spPr>
        <a:xfrm>
          <a:off x="7783830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28575" cy="9525"/>
    <xdr:sp macro="" textlink="">
      <xdr:nvSpPr>
        <xdr:cNvPr id="40" name="Shape 6">
          <a:extLst>
            <a:ext uri="{FF2B5EF4-FFF2-40B4-BE49-F238E27FC236}">
              <a16:creationId xmlns:a16="http://schemas.microsoft.com/office/drawing/2014/main" id="{C8091473-85F1-4B44-B6AA-7F6EE114F36E}"/>
            </a:ext>
          </a:extLst>
        </xdr:cNvPr>
        <xdr:cNvSpPr/>
      </xdr:nvSpPr>
      <xdr:spPr>
        <a:xfrm>
          <a:off x="1506855" y="25527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41" name="Shape 6">
          <a:extLst>
            <a:ext uri="{FF2B5EF4-FFF2-40B4-BE49-F238E27FC236}">
              <a16:creationId xmlns:a16="http://schemas.microsoft.com/office/drawing/2014/main" id="{F3BE48C2-E984-4849-ABF1-2759AC4C3152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42" name="Shape 6">
          <a:extLst>
            <a:ext uri="{FF2B5EF4-FFF2-40B4-BE49-F238E27FC236}">
              <a16:creationId xmlns:a16="http://schemas.microsoft.com/office/drawing/2014/main" id="{62EA7C70-C430-4C47-B102-408D95F352D0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43" name="Shape 6">
          <a:extLst>
            <a:ext uri="{FF2B5EF4-FFF2-40B4-BE49-F238E27FC236}">
              <a16:creationId xmlns:a16="http://schemas.microsoft.com/office/drawing/2014/main" id="{254DA3F1-6BA0-45CB-816A-4DA4CDF39C55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44" name="Shape 6">
          <a:extLst>
            <a:ext uri="{FF2B5EF4-FFF2-40B4-BE49-F238E27FC236}">
              <a16:creationId xmlns:a16="http://schemas.microsoft.com/office/drawing/2014/main" id="{1E45B369-E230-494B-A562-599F3F1DE3E2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45" name="Shape 6">
          <a:extLst>
            <a:ext uri="{FF2B5EF4-FFF2-40B4-BE49-F238E27FC236}">
              <a16:creationId xmlns:a16="http://schemas.microsoft.com/office/drawing/2014/main" id="{3D3A9CEF-8585-43B2-A40E-DCB5389518D3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46" name="Shape 5">
          <a:extLst>
            <a:ext uri="{FF2B5EF4-FFF2-40B4-BE49-F238E27FC236}">
              <a16:creationId xmlns:a16="http://schemas.microsoft.com/office/drawing/2014/main" id="{64510EAF-58D1-4DF5-A3E6-1A2D62F4BFC4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47" name="Shape 5">
          <a:extLst>
            <a:ext uri="{FF2B5EF4-FFF2-40B4-BE49-F238E27FC236}">
              <a16:creationId xmlns:a16="http://schemas.microsoft.com/office/drawing/2014/main" id="{4605FEBD-3695-4146-9D69-04D389E092AD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48" name="Shape 5">
          <a:extLst>
            <a:ext uri="{FF2B5EF4-FFF2-40B4-BE49-F238E27FC236}">
              <a16:creationId xmlns:a16="http://schemas.microsoft.com/office/drawing/2014/main" id="{042F2029-C79C-4568-B996-6518121EAF48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49" name="Shape 5">
          <a:extLst>
            <a:ext uri="{FF2B5EF4-FFF2-40B4-BE49-F238E27FC236}">
              <a16:creationId xmlns:a16="http://schemas.microsoft.com/office/drawing/2014/main" id="{E84041B6-3E23-4520-B994-38030AD427CE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50" name="Shape 5">
          <a:extLst>
            <a:ext uri="{FF2B5EF4-FFF2-40B4-BE49-F238E27FC236}">
              <a16:creationId xmlns:a16="http://schemas.microsoft.com/office/drawing/2014/main" id="{C22A8833-679E-4BF9-A56A-B79D8504C52C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51" name="Shape 4">
          <a:extLst>
            <a:ext uri="{FF2B5EF4-FFF2-40B4-BE49-F238E27FC236}">
              <a16:creationId xmlns:a16="http://schemas.microsoft.com/office/drawing/2014/main" id="{79C5A70A-BDA3-425B-A56A-58A31492AF8F}"/>
            </a:ext>
          </a:extLst>
        </xdr:cNvPr>
        <xdr:cNvSpPr/>
      </xdr:nvSpPr>
      <xdr:spPr>
        <a:xfrm>
          <a:off x="7783830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52" name="Shape 5">
          <a:extLst>
            <a:ext uri="{FF2B5EF4-FFF2-40B4-BE49-F238E27FC236}">
              <a16:creationId xmlns:a16="http://schemas.microsoft.com/office/drawing/2014/main" id="{DFBB3D55-79AE-42B0-A4CE-5FF1211F4382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53" name="Shape 4">
          <a:extLst>
            <a:ext uri="{FF2B5EF4-FFF2-40B4-BE49-F238E27FC236}">
              <a16:creationId xmlns:a16="http://schemas.microsoft.com/office/drawing/2014/main" id="{360D90B3-05A9-49F1-BE6C-BC706B86E7BC}"/>
            </a:ext>
          </a:extLst>
        </xdr:cNvPr>
        <xdr:cNvSpPr/>
      </xdr:nvSpPr>
      <xdr:spPr>
        <a:xfrm>
          <a:off x="7783830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54" name="Shape 5">
          <a:extLst>
            <a:ext uri="{FF2B5EF4-FFF2-40B4-BE49-F238E27FC236}">
              <a16:creationId xmlns:a16="http://schemas.microsoft.com/office/drawing/2014/main" id="{D2100CE7-22D5-45B0-A399-B29D7059D177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55" name="Shape 5">
          <a:extLst>
            <a:ext uri="{FF2B5EF4-FFF2-40B4-BE49-F238E27FC236}">
              <a16:creationId xmlns:a16="http://schemas.microsoft.com/office/drawing/2014/main" id="{02691F0E-5D02-46F0-85E1-1709E6542F3B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56" name="Shape 5">
          <a:extLst>
            <a:ext uri="{FF2B5EF4-FFF2-40B4-BE49-F238E27FC236}">
              <a16:creationId xmlns:a16="http://schemas.microsoft.com/office/drawing/2014/main" id="{6D1F4C5F-B553-4ED4-AF6F-93C70C3A9646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57" name="Shape 5">
          <a:extLst>
            <a:ext uri="{FF2B5EF4-FFF2-40B4-BE49-F238E27FC236}">
              <a16:creationId xmlns:a16="http://schemas.microsoft.com/office/drawing/2014/main" id="{3A58CEEC-FC89-43D9-BA4E-2895472984AC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58" name="Shape 5">
          <a:extLst>
            <a:ext uri="{FF2B5EF4-FFF2-40B4-BE49-F238E27FC236}">
              <a16:creationId xmlns:a16="http://schemas.microsoft.com/office/drawing/2014/main" id="{24B3A124-B2B5-4C5D-9703-8B17B8CC5F0C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59" name="Shape 5">
          <a:extLst>
            <a:ext uri="{FF2B5EF4-FFF2-40B4-BE49-F238E27FC236}">
              <a16:creationId xmlns:a16="http://schemas.microsoft.com/office/drawing/2014/main" id="{7F74EAB9-77E9-4A59-88FD-3AFA79239EE0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60" name="Shape 5">
          <a:extLst>
            <a:ext uri="{FF2B5EF4-FFF2-40B4-BE49-F238E27FC236}">
              <a16:creationId xmlns:a16="http://schemas.microsoft.com/office/drawing/2014/main" id="{D56A96A9-8230-4D6C-AD16-EFDE79C7F2F5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61" name="Shape 5">
          <a:extLst>
            <a:ext uri="{FF2B5EF4-FFF2-40B4-BE49-F238E27FC236}">
              <a16:creationId xmlns:a16="http://schemas.microsoft.com/office/drawing/2014/main" id="{B634974B-F2F8-4184-AC1F-44C5EFC6BDD7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62" name="Shape 5">
          <a:extLst>
            <a:ext uri="{FF2B5EF4-FFF2-40B4-BE49-F238E27FC236}">
              <a16:creationId xmlns:a16="http://schemas.microsoft.com/office/drawing/2014/main" id="{B71ECCC5-4E04-4312-8A8B-2A4812E35D33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63" name="Shape 5">
          <a:extLst>
            <a:ext uri="{FF2B5EF4-FFF2-40B4-BE49-F238E27FC236}">
              <a16:creationId xmlns:a16="http://schemas.microsoft.com/office/drawing/2014/main" id="{89F96F89-9BFB-4BBC-979D-75CB4D04009F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14</xdr:row>
      <xdr:rowOff>0</xdr:rowOff>
    </xdr:from>
    <xdr:ext cx="38100" cy="9525"/>
    <xdr:sp macro="" textlink="">
      <xdr:nvSpPr>
        <xdr:cNvPr id="64" name="Shape 5">
          <a:extLst>
            <a:ext uri="{FF2B5EF4-FFF2-40B4-BE49-F238E27FC236}">
              <a16:creationId xmlns:a16="http://schemas.microsoft.com/office/drawing/2014/main" id="{A029EBF4-8F1F-4A53-A004-257199CDD2D0}"/>
            </a:ext>
          </a:extLst>
        </xdr:cNvPr>
        <xdr:cNvSpPr/>
      </xdr:nvSpPr>
      <xdr:spPr>
        <a:xfrm>
          <a:off x="1506855" y="25527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-9525</xdr:colOff>
      <xdr:row>9</xdr:row>
      <xdr:rowOff>0</xdr:rowOff>
    </xdr:from>
    <xdr:ext cx="28575" cy="9525"/>
    <xdr:sp macro="" textlink="">
      <xdr:nvSpPr>
        <xdr:cNvPr id="65" name="Shape 5">
          <a:extLst>
            <a:ext uri="{FF2B5EF4-FFF2-40B4-BE49-F238E27FC236}">
              <a16:creationId xmlns:a16="http://schemas.microsoft.com/office/drawing/2014/main" id="{B201050F-C737-490B-9A2F-E7F7CBC471B2}"/>
            </a:ext>
          </a:extLst>
        </xdr:cNvPr>
        <xdr:cNvSpPr/>
      </xdr:nvSpPr>
      <xdr:spPr>
        <a:xfrm>
          <a:off x="77933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-19050</xdr:colOff>
      <xdr:row>9</xdr:row>
      <xdr:rowOff>0</xdr:rowOff>
    </xdr:from>
    <xdr:ext cx="38100" cy="9525"/>
    <xdr:sp macro="" textlink="">
      <xdr:nvSpPr>
        <xdr:cNvPr id="66" name="Shape 4">
          <a:extLst>
            <a:ext uri="{FF2B5EF4-FFF2-40B4-BE49-F238E27FC236}">
              <a16:creationId xmlns:a16="http://schemas.microsoft.com/office/drawing/2014/main" id="{BC27C104-2B91-4ADE-8C93-4EEF9D4E66B1}"/>
            </a:ext>
          </a:extLst>
        </xdr:cNvPr>
        <xdr:cNvSpPr/>
      </xdr:nvSpPr>
      <xdr:spPr>
        <a:xfrm>
          <a:off x="10222230" y="16459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-9525</xdr:colOff>
      <xdr:row>9</xdr:row>
      <xdr:rowOff>0</xdr:rowOff>
    </xdr:from>
    <xdr:ext cx="28575" cy="9525"/>
    <xdr:sp macro="" textlink="">
      <xdr:nvSpPr>
        <xdr:cNvPr id="67" name="Shape 5">
          <a:extLst>
            <a:ext uri="{FF2B5EF4-FFF2-40B4-BE49-F238E27FC236}">
              <a16:creationId xmlns:a16="http://schemas.microsoft.com/office/drawing/2014/main" id="{B18C653D-4511-4E8F-83FF-B2E387DAB9E6}"/>
            </a:ext>
          </a:extLst>
        </xdr:cNvPr>
        <xdr:cNvSpPr/>
      </xdr:nvSpPr>
      <xdr:spPr>
        <a:xfrm>
          <a:off x="102317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-9525</xdr:colOff>
      <xdr:row>9</xdr:row>
      <xdr:rowOff>0</xdr:rowOff>
    </xdr:from>
    <xdr:ext cx="28575" cy="9525"/>
    <xdr:sp macro="" textlink="">
      <xdr:nvSpPr>
        <xdr:cNvPr id="68" name="Shape 5">
          <a:extLst>
            <a:ext uri="{FF2B5EF4-FFF2-40B4-BE49-F238E27FC236}">
              <a16:creationId xmlns:a16="http://schemas.microsoft.com/office/drawing/2014/main" id="{58148A66-A75A-4D74-98F2-178521F39955}"/>
            </a:ext>
          </a:extLst>
        </xdr:cNvPr>
        <xdr:cNvSpPr/>
      </xdr:nvSpPr>
      <xdr:spPr>
        <a:xfrm>
          <a:off x="102317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</xdr:row>
      <xdr:rowOff>0</xdr:rowOff>
    </xdr:from>
    <xdr:ext cx="28575" cy="9525"/>
    <xdr:sp macro="" textlink="">
      <xdr:nvSpPr>
        <xdr:cNvPr id="69" name="Shape 5">
          <a:extLst>
            <a:ext uri="{FF2B5EF4-FFF2-40B4-BE49-F238E27FC236}">
              <a16:creationId xmlns:a16="http://schemas.microsoft.com/office/drawing/2014/main" id="{91644FD3-97CF-4255-BE44-A6DD9A4198DC}"/>
            </a:ext>
          </a:extLst>
        </xdr:cNvPr>
        <xdr:cNvSpPr/>
      </xdr:nvSpPr>
      <xdr:spPr>
        <a:xfrm>
          <a:off x="15068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</xdr:row>
      <xdr:rowOff>0</xdr:rowOff>
    </xdr:from>
    <xdr:ext cx="28575" cy="9525"/>
    <xdr:sp macro="" textlink="">
      <xdr:nvSpPr>
        <xdr:cNvPr id="70" name="Shape 5">
          <a:extLst>
            <a:ext uri="{FF2B5EF4-FFF2-40B4-BE49-F238E27FC236}">
              <a16:creationId xmlns:a16="http://schemas.microsoft.com/office/drawing/2014/main" id="{C2F62854-B972-4B14-8A84-5CC27E0D7C2C}"/>
            </a:ext>
          </a:extLst>
        </xdr:cNvPr>
        <xdr:cNvSpPr/>
      </xdr:nvSpPr>
      <xdr:spPr>
        <a:xfrm>
          <a:off x="15068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-9525</xdr:colOff>
      <xdr:row>9</xdr:row>
      <xdr:rowOff>0</xdr:rowOff>
    </xdr:from>
    <xdr:ext cx="28575" cy="9525"/>
    <xdr:sp macro="" textlink="">
      <xdr:nvSpPr>
        <xdr:cNvPr id="71" name="Shape 5">
          <a:extLst>
            <a:ext uri="{FF2B5EF4-FFF2-40B4-BE49-F238E27FC236}">
              <a16:creationId xmlns:a16="http://schemas.microsoft.com/office/drawing/2014/main" id="{D86C4DCA-AE53-4BF3-BC06-1FB9C5026517}"/>
            </a:ext>
          </a:extLst>
        </xdr:cNvPr>
        <xdr:cNvSpPr/>
      </xdr:nvSpPr>
      <xdr:spPr>
        <a:xfrm>
          <a:off x="77933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-19050</xdr:colOff>
      <xdr:row>9</xdr:row>
      <xdr:rowOff>0</xdr:rowOff>
    </xdr:from>
    <xdr:ext cx="38100" cy="9525"/>
    <xdr:sp macro="" textlink="">
      <xdr:nvSpPr>
        <xdr:cNvPr id="72" name="Shape 4">
          <a:extLst>
            <a:ext uri="{FF2B5EF4-FFF2-40B4-BE49-F238E27FC236}">
              <a16:creationId xmlns:a16="http://schemas.microsoft.com/office/drawing/2014/main" id="{497819E6-6619-4A11-955E-C0B7D988F8D0}"/>
            </a:ext>
          </a:extLst>
        </xdr:cNvPr>
        <xdr:cNvSpPr/>
      </xdr:nvSpPr>
      <xdr:spPr>
        <a:xfrm>
          <a:off x="10222230" y="164592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-9525</xdr:colOff>
      <xdr:row>9</xdr:row>
      <xdr:rowOff>0</xdr:rowOff>
    </xdr:from>
    <xdr:ext cx="28575" cy="9525"/>
    <xdr:sp macro="" textlink="">
      <xdr:nvSpPr>
        <xdr:cNvPr id="73" name="Shape 5">
          <a:extLst>
            <a:ext uri="{FF2B5EF4-FFF2-40B4-BE49-F238E27FC236}">
              <a16:creationId xmlns:a16="http://schemas.microsoft.com/office/drawing/2014/main" id="{B9D2643B-5729-48C1-8198-6400615B16B6}"/>
            </a:ext>
          </a:extLst>
        </xdr:cNvPr>
        <xdr:cNvSpPr/>
      </xdr:nvSpPr>
      <xdr:spPr>
        <a:xfrm>
          <a:off x="102317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6</xdr:col>
      <xdr:colOff>-9525</xdr:colOff>
      <xdr:row>9</xdr:row>
      <xdr:rowOff>0</xdr:rowOff>
    </xdr:from>
    <xdr:ext cx="28575" cy="9525"/>
    <xdr:sp macro="" textlink="">
      <xdr:nvSpPr>
        <xdr:cNvPr id="74" name="Shape 5">
          <a:extLst>
            <a:ext uri="{FF2B5EF4-FFF2-40B4-BE49-F238E27FC236}">
              <a16:creationId xmlns:a16="http://schemas.microsoft.com/office/drawing/2014/main" id="{B020D628-C91A-4916-B9B5-D92F69CFAA58}"/>
            </a:ext>
          </a:extLst>
        </xdr:cNvPr>
        <xdr:cNvSpPr/>
      </xdr:nvSpPr>
      <xdr:spPr>
        <a:xfrm>
          <a:off x="102317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</xdr:row>
      <xdr:rowOff>0</xdr:rowOff>
    </xdr:from>
    <xdr:ext cx="28575" cy="9525"/>
    <xdr:sp macro="" textlink="">
      <xdr:nvSpPr>
        <xdr:cNvPr id="75" name="Shape 5">
          <a:extLst>
            <a:ext uri="{FF2B5EF4-FFF2-40B4-BE49-F238E27FC236}">
              <a16:creationId xmlns:a16="http://schemas.microsoft.com/office/drawing/2014/main" id="{ADCE431F-CAB0-405A-B157-C78FB660E1F9}"/>
            </a:ext>
          </a:extLst>
        </xdr:cNvPr>
        <xdr:cNvSpPr/>
      </xdr:nvSpPr>
      <xdr:spPr>
        <a:xfrm>
          <a:off x="15068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</xdr:row>
      <xdr:rowOff>0</xdr:rowOff>
    </xdr:from>
    <xdr:ext cx="28575" cy="9525"/>
    <xdr:sp macro="" textlink="">
      <xdr:nvSpPr>
        <xdr:cNvPr id="76" name="Shape 5">
          <a:extLst>
            <a:ext uri="{FF2B5EF4-FFF2-40B4-BE49-F238E27FC236}">
              <a16:creationId xmlns:a16="http://schemas.microsoft.com/office/drawing/2014/main" id="{05BE1ED2-83FB-47F4-BC06-AA1B220F38E4}"/>
            </a:ext>
          </a:extLst>
        </xdr:cNvPr>
        <xdr:cNvSpPr/>
      </xdr:nvSpPr>
      <xdr:spPr>
        <a:xfrm>
          <a:off x="1506855" y="164592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1095375</xdr:colOff>
      <xdr:row>0</xdr:row>
      <xdr:rowOff>123825</xdr:rowOff>
    </xdr:from>
    <xdr:ext cx="504825" cy="847725"/>
    <xdr:pic>
      <xdr:nvPicPr>
        <xdr:cNvPr id="77" name="image1.png">
          <a:extLst>
            <a:ext uri="{FF2B5EF4-FFF2-40B4-BE49-F238E27FC236}">
              <a16:creationId xmlns:a16="http://schemas.microsoft.com/office/drawing/2014/main" id="{D3E974B4-250D-48E0-8908-0708784CDB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34875" y="123825"/>
          <a:ext cx="504825" cy="847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66675</xdr:rowOff>
    </xdr:from>
    <xdr:ext cx="962025" cy="866775"/>
    <xdr:pic>
      <xdr:nvPicPr>
        <xdr:cNvPr id="78" name="image2.png">
          <a:extLst>
            <a:ext uri="{FF2B5EF4-FFF2-40B4-BE49-F238E27FC236}">
              <a16:creationId xmlns:a16="http://schemas.microsoft.com/office/drawing/2014/main" id="{0B7F55CB-DA43-48DB-89BB-2EB78A4D25F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6765" y="66675"/>
          <a:ext cx="962025" cy="8667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-19050</xdr:colOff>
      <xdr:row>15</xdr:row>
      <xdr:rowOff>0</xdr:rowOff>
    </xdr:from>
    <xdr:ext cx="38100" cy="9525"/>
    <xdr:sp macro="" textlink="">
      <xdr:nvSpPr>
        <xdr:cNvPr id="79" name="Shape 4">
          <a:extLst>
            <a:ext uri="{FF2B5EF4-FFF2-40B4-BE49-F238E27FC236}">
              <a16:creationId xmlns:a16="http://schemas.microsoft.com/office/drawing/2014/main" id="{2CA2ABBB-7142-41CF-BE6D-F539F36CABA5}"/>
            </a:ext>
          </a:extLst>
        </xdr:cNvPr>
        <xdr:cNvSpPr/>
      </xdr:nvSpPr>
      <xdr:spPr>
        <a:xfrm>
          <a:off x="7783830" y="2743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</xdr:row>
      <xdr:rowOff>0</xdr:rowOff>
    </xdr:from>
    <xdr:ext cx="38100" cy="9525"/>
    <xdr:sp macro="" textlink="">
      <xdr:nvSpPr>
        <xdr:cNvPr id="80" name="Shape 4">
          <a:extLst>
            <a:ext uri="{FF2B5EF4-FFF2-40B4-BE49-F238E27FC236}">
              <a16:creationId xmlns:a16="http://schemas.microsoft.com/office/drawing/2014/main" id="{D00CB38A-2308-4F58-B84F-F0F71D2D7D68}"/>
            </a:ext>
          </a:extLst>
        </xdr:cNvPr>
        <xdr:cNvSpPr/>
      </xdr:nvSpPr>
      <xdr:spPr>
        <a:xfrm>
          <a:off x="7783830" y="2743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</xdr:row>
      <xdr:rowOff>0</xdr:rowOff>
    </xdr:from>
    <xdr:ext cx="38100" cy="9525"/>
    <xdr:sp macro="" textlink="">
      <xdr:nvSpPr>
        <xdr:cNvPr id="81" name="Shape 7">
          <a:extLst>
            <a:ext uri="{FF2B5EF4-FFF2-40B4-BE49-F238E27FC236}">
              <a16:creationId xmlns:a16="http://schemas.microsoft.com/office/drawing/2014/main" id="{A6C5D2C5-55AD-4188-A14F-A8324E8D87BE}"/>
            </a:ext>
          </a:extLst>
        </xdr:cNvPr>
        <xdr:cNvSpPr/>
      </xdr:nvSpPr>
      <xdr:spPr>
        <a:xfrm>
          <a:off x="7783830" y="2743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</xdr:row>
      <xdr:rowOff>0</xdr:rowOff>
    </xdr:from>
    <xdr:ext cx="38100" cy="9525"/>
    <xdr:sp macro="" textlink="">
      <xdr:nvSpPr>
        <xdr:cNvPr id="82" name="Shape 7">
          <a:extLst>
            <a:ext uri="{FF2B5EF4-FFF2-40B4-BE49-F238E27FC236}">
              <a16:creationId xmlns:a16="http://schemas.microsoft.com/office/drawing/2014/main" id="{8D8E49D3-46E3-4781-A551-56049091A460}"/>
            </a:ext>
          </a:extLst>
        </xdr:cNvPr>
        <xdr:cNvSpPr/>
      </xdr:nvSpPr>
      <xdr:spPr>
        <a:xfrm>
          <a:off x="7783830" y="2743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</xdr:row>
      <xdr:rowOff>0</xdr:rowOff>
    </xdr:from>
    <xdr:ext cx="38100" cy="9525"/>
    <xdr:sp macro="" textlink="">
      <xdr:nvSpPr>
        <xdr:cNvPr id="83" name="Shape 4">
          <a:extLst>
            <a:ext uri="{FF2B5EF4-FFF2-40B4-BE49-F238E27FC236}">
              <a16:creationId xmlns:a16="http://schemas.microsoft.com/office/drawing/2014/main" id="{08F33B31-3A06-491C-81D0-81F867BD220E}"/>
            </a:ext>
          </a:extLst>
        </xdr:cNvPr>
        <xdr:cNvSpPr/>
      </xdr:nvSpPr>
      <xdr:spPr>
        <a:xfrm>
          <a:off x="7783830" y="2743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</xdr:row>
      <xdr:rowOff>0</xdr:rowOff>
    </xdr:from>
    <xdr:ext cx="38100" cy="9525"/>
    <xdr:sp macro="" textlink="">
      <xdr:nvSpPr>
        <xdr:cNvPr id="84" name="Shape 4">
          <a:extLst>
            <a:ext uri="{FF2B5EF4-FFF2-40B4-BE49-F238E27FC236}">
              <a16:creationId xmlns:a16="http://schemas.microsoft.com/office/drawing/2014/main" id="{082D847F-1C47-4167-81EB-B42A3595929D}"/>
            </a:ext>
          </a:extLst>
        </xdr:cNvPr>
        <xdr:cNvSpPr/>
      </xdr:nvSpPr>
      <xdr:spPr>
        <a:xfrm>
          <a:off x="7783830" y="2743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85" name="Shape 5">
          <a:extLst>
            <a:ext uri="{FF2B5EF4-FFF2-40B4-BE49-F238E27FC236}">
              <a16:creationId xmlns:a16="http://schemas.microsoft.com/office/drawing/2014/main" id="{5CAEFA75-35C0-47A4-A038-67703AB766FA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86" name="Shape 5">
          <a:extLst>
            <a:ext uri="{FF2B5EF4-FFF2-40B4-BE49-F238E27FC236}">
              <a16:creationId xmlns:a16="http://schemas.microsoft.com/office/drawing/2014/main" id="{A6BCCF41-862F-4FEE-AAE6-34D308FE031A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87" name="Shape 5">
          <a:extLst>
            <a:ext uri="{FF2B5EF4-FFF2-40B4-BE49-F238E27FC236}">
              <a16:creationId xmlns:a16="http://schemas.microsoft.com/office/drawing/2014/main" id="{36A9D813-49CB-4AED-A93B-5C2105A185F5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88" name="Shape 5">
          <a:extLst>
            <a:ext uri="{FF2B5EF4-FFF2-40B4-BE49-F238E27FC236}">
              <a16:creationId xmlns:a16="http://schemas.microsoft.com/office/drawing/2014/main" id="{8E1516DC-B5C7-4300-82B1-0EA09F78428D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89" name="Shape 5">
          <a:extLst>
            <a:ext uri="{FF2B5EF4-FFF2-40B4-BE49-F238E27FC236}">
              <a16:creationId xmlns:a16="http://schemas.microsoft.com/office/drawing/2014/main" id="{B89628BB-8893-4A6D-ADA1-C8764CEAD2EB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90" name="Shape 4">
          <a:extLst>
            <a:ext uri="{FF2B5EF4-FFF2-40B4-BE49-F238E27FC236}">
              <a16:creationId xmlns:a16="http://schemas.microsoft.com/office/drawing/2014/main" id="{4E0FC018-30C8-4C27-BBB3-D0A272C1C7F4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91" name="Shape 5">
          <a:extLst>
            <a:ext uri="{FF2B5EF4-FFF2-40B4-BE49-F238E27FC236}">
              <a16:creationId xmlns:a16="http://schemas.microsoft.com/office/drawing/2014/main" id="{503073AE-52A7-443D-909A-809085041E8C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92" name="Shape 4">
          <a:extLst>
            <a:ext uri="{FF2B5EF4-FFF2-40B4-BE49-F238E27FC236}">
              <a16:creationId xmlns:a16="http://schemas.microsoft.com/office/drawing/2014/main" id="{5B668A8D-D398-4495-86A2-3E2EC1245A66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93" name="Shape 6">
          <a:extLst>
            <a:ext uri="{FF2B5EF4-FFF2-40B4-BE49-F238E27FC236}">
              <a16:creationId xmlns:a16="http://schemas.microsoft.com/office/drawing/2014/main" id="{F98B2BAD-F117-4438-8E45-4BE6DF447239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94" name="Shape 6">
          <a:extLst>
            <a:ext uri="{FF2B5EF4-FFF2-40B4-BE49-F238E27FC236}">
              <a16:creationId xmlns:a16="http://schemas.microsoft.com/office/drawing/2014/main" id="{39879C5E-3123-49FA-8829-AA53B18935A5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95" name="Shape 6">
          <a:extLst>
            <a:ext uri="{FF2B5EF4-FFF2-40B4-BE49-F238E27FC236}">
              <a16:creationId xmlns:a16="http://schemas.microsoft.com/office/drawing/2014/main" id="{CD79A557-4F8F-4CD7-B82F-EF55E1EC1ED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96" name="Shape 6">
          <a:extLst>
            <a:ext uri="{FF2B5EF4-FFF2-40B4-BE49-F238E27FC236}">
              <a16:creationId xmlns:a16="http://schemas.microsoft.com/office/drawing/2014/main" id="{205036EC-722F-4A1E-B3BE-9B7217D584B8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97" name="Shape 6">
          <a:extLst>
            <a:ext uri="{FF2B5EF4-FFF2-40B4-BE49-F238E27FC236}">
              <a16:creationId xmlns:a16="http://schemas.microsoft.com/office/drawing/2014/main" id="{1417560B-AC4C-47BA-80A6-AF755040C3A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98" name="Shape 6">
          <a:extLst>
            <a:ext uri="{FF2B5EF4-FFF2-40B4-BE49-F238E27FC236}">
              <a16:creationId xmlns:a16="http://schemas.microsoft.com/office/drawing/2014/main" id="{632871E4-BA3B-47CD-9745-CB30247E245E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99" name="Shape 6">
          <a:extLst>
            <a:ext uri="{FF2B5EF4-FFF2-40B4-BE49-F238E27FC236}">
              <a16:creationId xmlns:a16="http://schemas.microsoft.com/office/drawing/2014/main" id="{6CF0B284-5B80-49AC-AF7C-17BA82E7364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0" name="Shape 6">
          <a:extLst>
            <a:ext uri="{FF2B5EF4-FFF2-40B4-BE49-F238E27FC236}">
              <a16:creationId xmlns:a16="http://schemas.microsoft.com/office/drawing/2014/main" id="{6157566E-F6C1-41C6-849B-CF703FDC8EF9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1" name="Shape 6">
          <a:extLst>
            <a:ext uri="{FF2B5EF4-FFF2-40B4-BE49-F238E27FC236}">
              <a16:creationId xmlns:a16="http://schemas.microsoft.com/office/drawing/2014/main" id="{76FA1881-82B6-4BE1-A431-CAAFB9E72964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2" name="Shape 5">
          <a:extLst>
            <a:ext uri="{FF2B5EF4-FFF2-40B4-BE49-F238E27FC236}">
              <a16:creationId xmlns:a16="http://schemas.microsoft.com/office/drawing/2014/main" id="{5D977081-F552-47BC-AEFC-5E38A2DC52DF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3" name="Shape 5">
          <a:extLst>
            <a:ext uri="{FF2B5EF4-FFF2-40B4-BE49-F238E27FC236}">
              <a16:creationId xmlns:a16="http://schemas.microsoft.com/office/drawing/2014/main" id="{09DF22DE-0356-48AC-A170-4F7362A5FAF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4" name="Shape 5">
          <a:extLst>
            <a:ext uri="{FF2B5EF4-FFF2-40B4-BE49-F238E27FC236}">
              <a16:creationId xmlns:a16="http://schemas.microsoft.com/office/drawing/2014/main" id="{2A9AE2BE-CEC3-4E40-8EBD-2A8F8F6D1DAE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5" name="Shape 5">
          <a:extLst>
            <a:ext uri="{FF2B5EF4-FFF2-40B4-BE49-F238E27FC236}">
              <a16:creationId xmlns:a16="http://schemas.microsoft.com/office/drawing/2014/main" id="{98FB9AF0-2915-46C6-A175-14E494BF56E1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6" name="Shape 5">
          <a:extLst>
            <a:ext uri="{FF2B5EF4-FFF2-40B4-BE49-F238E27FC236}">
              <a16:creationId xmlns:a16="http://schemas.microsoft.com/office/drawing/2014/main" id="{F3D29DC6-C3FF-4D67-83D2-0C2C49BDDE85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7" name="Shape 5">
          <a:extLst>
            <a:ext uri="{FF2B5EF4-FFF2-40B4-BE49-F238E27FC236}">
              <a16:creationId xmlns:a16="http://schemas.microsoft.com/office/drawing/2014/main" id="{57B16D91-A2D3-4AB8-BAA8-76AC2C55B56D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8" name="Shape 5">
          <a:extLst>
            <a:ext uri="{FF2B5EF4-FFF2-40B4-BE49-F238E27FC236}">
              <a16:creationId xmlns:a16="http://schemas.microsoft.com/office/drawing/2014/main" id="{5AC65A7F-32B9-44AE-B8E0-6D0112C8CD89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09" name="Shape 5">
          <a:extLst>
            <a:ext uri="{FF2B5EF4-FFF2-40B4-BE49-F238E27FC236}">
              <a16:creationId xmlns:a16="http://schemas.microsoft.com/office/drawing/2014/main" id="{27C515EB-8D21-487F-AC06-74664C0B1AD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110" name="Shape 6">
          <a:extLst>
            <a:ext uri="{FF2B5EF4-FFF2-40B4-BE49-F238E27FC236}">
              <a16:creationId xmlns:a16="http://schemas.microsoft.com/office/drawing/2014/main" id="{E80D8C8E-CE4D-4F7D-AE69-5F9C86DDF49C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111" name="Shape 6">
          <a:extLst>
            <a:ext uri="{FF2B5EF4-FFF2-40B4-BE49-F238E27FC236}">
              <a16:creationId xmlns:a16="http://schemas.microsoft.com/office/drawing/2014/main" id="{7790FD21-13DE-4046-BB22-07C7D04CCE4F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112" name="Shape 6">
          <a:extLst>
            <a:ext uri="{FF2B5EF4-FFF2-40B4-BE49-F238E27FC236}">
              <a16:creationId xmlns:a16="http://schemas.microsoft.com/office/drawing/2014/main" id="{C35D9DAC-8F08-44CE-91E3-8B1EF9CFF7D5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113" name="Shape 6">
          <a:extLst>
            <a:ext uri="{FF2B5EF4-FFF2-40B4-BE49-F238E27FC236}">
              <a16:creationId xmlns:a16="http://schemas.microsoft.com/office/drawing/2014/main" id="{0883C3B0-975C-4801-81DF-24E504F71497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114" name="Shape 6">
          <a:extLst>
            <a:ext uri="{FF2B5EF4-FFF2-40B4-BE49-F238E27FC236}">
              <a16:creationId xmlns:a16="http://schemas.microsoft.com/office/drawing/2014/main" id="{36750B58-5B2D-43CE-9EF9-F1ED0B7A7573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115" name="Shape 7">
          <a:extLst>
            <a:ext uri="{FF2B5EF4-FFF2-40B4-BE49-F238E27FC236}">
              <a16:creationId xmlns:a16="http://schemas.microsoft.com/office/drawing/2014/main" id="{F396FBBB-AF70-47D9-B34E-B09C98C3B634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116" name="Shape 6">
          <a:extLst>
            <a:ext uri="{FF2B5EF4-FFF2-40B4-BE49-F238E27FC236}">
              <a16:creationId xmlns:a16="http://schemas.microsoft.com/office/drawing/2014/main" id="{68BDA543-8513-43F8-93AF-38E701574260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117" name="Shape 7">
          <a:extLst>
            <a:ext uri="{FF2B5EF4-FFF2-40B4-BE49-F238E27FC236}">
              <a16:creationId xmlns:a16="http://schemas.microsoft.com/office/drawing/2014/main" id="{FC74E6C0-2236-41CB-ABC1-5C4335930ADB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28575" cy="9525"/>
    <xdr:sp macro="" textlink="">
      <xdr:nvSpPr>
        <xdr:cNvPr id="118" name="Shape 6">
          <a:extLst>
            <a:ext uri="{FF2B5EF4-FFF2-40B4-BE49-F238E27FC236}">
              <a16:creationId xmlns:a16="http://schemas.microsoft.com/office/drawing/2014/main" id="{63AB3BA8-B456-46AD-853E-D0CB5004655E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19" name="Shape 6">
          <a:extLst>
            <a:ext uri="{FF2B5EF4-FFF2-40B4-BE49-F238E27FC236}">
              <a16:creationId xmlns:a16="http://schemas.microsoft.com/office/drawing/2014/main" id="{A7C98DB9-3F51-4E50-A885-F4150734EB2D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20" name="Shape 6">
          <a:extLst>
            <a:ext uri="{FF2B5EF4-FFF2-40B4-BE49-F238E27FC236}">
              <a16:creationId xmlns:a16="http://schemas.microsoft.com/office/drawing/2014/main" id="{6E44F6C7-850B-4125-A8F0-46CF05902D9C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21" name="Shape 6">
          <a:extLst>
            <a:ext uri="{FF2B5EF4-FFF2-40B4-BE49-F238E27FC236}">
              <a16:creationId xmlns:a16="http://schemas.microsoft.com/office/drawing/2014/main" id="{0F0DD94B-11D7-428C-9A70-42E23F9DB90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22" name="Shape 6">
          <a:extLst>
            <a:ext uri="{FF2B5EF4-FFF2-40B4-BE49-F238E27FC236}">
              <a16:creationId xmlns:a16="http://schemas.microsoft.com/office/drawing/2014/main" id="{A61EDE2B-E46E-4351-8C89-5900D8C81674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23" name="Shape 6">
          <a:extLst>
            <a:ext uri="{FF2B5EF4-FFF2-40B4-BE49-F238E27FC236}">
              <a16:creationId xmlns:a16="http://schemas.microsoft.com/office/drawing/2014/main" id="{F047C1EC-2EA4-4E03-A3FB-DCEF39AD4F1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24" name="Shape 5">
          <a:extLst>
            <a:ext uri="{FF2B5EF4-FFF2-40B4-BE49-F238E27FC236}">
              <a16:creationId xmlns:a16="http://schemas.microsoft.com/office/drawing/2014/main" id="{BB82EC54-9D66-49DB-92AC-E7EACBD3690D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25" name="Shape 5">
          <a:extLst>
            <a:ext uri="{FF2B5EF4-FFF2-40B4-BE49-F238E27FC236}">
              <a16:creationId xmlns:a16="http://schemas.microsoft.com/office/drawing/2014/main" id="{20477424-08DB-4791-8003-CBC627F77B0A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26" name="Shape 5">
          <a:extLst>
            <a:ext uri="{FF2B5EF4-FFF2-40B4-BE49-F238E27FC236}">
              <a16:creationId xmlns:a16="http://schemas.microsoft.com/office/drawing/2014/main" id="{E64DB2FB-3953-47E3-94FF-A74F09F1C383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27" name="Shape 5">
          <a:extLst>
            <a:ext uri="{FF2B5EF4-FFF2-40B4-BE49-F238E27FC236}">
              <a16:creationId xmlns:a16="http://schemas.microsoft.com/office/drawing/2014/main" id="{E05EF269-DED6-4239-ABB5-F3453A125D52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28" name="Shape 5">
          <a:extLst>
            <a:ext uri="{FF2B5EF4-FFF2-40B4-BE49-F238E27FC236}">
              <a16:creationId xmlns:a16="http://schemas.microsoft.com/office/drawing/2014/main" id="{2E206111-5C36-4DFE-80FE-1721493706B3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129" name="Shape 4">
          <a:extLst>
            <a:ext uri="{FF2B5EF4-FFF2-40B4-BE49-F238E27FC236}">
              <a16:creationId xmlns:a16="http://schemas.microsoft.com/office/drawing/2014/main" id="{2CBADDD3-A35F-4581-A517-654B628917C7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30" name="Shape 5">
          <a:extLst>
            <a:ext uri="{FF2B5EF4-FFF2-40B4-BE49-F238E27FC236}">
              <a16:creationId xmlns:a16="http://schemas.microsoft.com/office/drawing/2014/main" id="{40AA4BFA-6A56-4FEB-8DDC-AAF6D1A07CC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131" name="Shape 4">
          <a:extLst>
            <a:ext uri="{FF2B5EF4-FFF2-40B4-BE49-F238E27FC236}">
              <a16:creationId xmlns:a16="http://schemas.microsoft.com/office/drawing/2014/main" id="{9252263B-C7BA-467D-A84B-08BA132EE25E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32" name="Shape 5">
          <a:extLst>
            <a:ext uri="{FF2B5EF4-FFF2-40B4-BE49-F238E27FC236}">
              <a16:creationId xmlns:a16="http://schemas.microsoft.com/office/drawing/2014/main" id="{5366D83C-01C5-448E-A82E-710CDC120191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33" name="Shape 5">
          <a:extLst>
            <a:ext uri="{FF2B5EF4-FFF2-40B4-BE49-F238E27FC236}">
              <a16:creationId xmlns:a16="http://schemas.microsoft.com/office/drawing/2014/main" id="{2C10CFF8-F9C9-4A12-B206-D007149002D5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34" name="Shape 5">
          <a:extLst>
            <a:ext uri="{FF2B5EF4-FFF2-40B4-BE49-F238E27FC236}">
              <a16:creationId xmlns:a16="http://schemas.microsoft.com/office/drawing/2014/main" id="{178E0F80-9A39-4362-8069-2FA76C49DEC1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35" name="Shape 5">
          <a:extLst>
            <a:ext uri="{FF2B5EF4-FFF2-40B4-BE49-F238E27FC236}">
              <a16:creationId xmlns:a16="http://schemas.microsoft.com/office/drawing/2014/main" id="{BC5D4DB7-C3AA-4CDF-8AC3-1DE8BC6F79F3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36" name="Shape 5">
          <a:extLst>
            <a:ext uri="{FF2B5EF4-FFF2-40B4-BE49-F238E27FC236}">
              <a16:creationId xmlns:a16="http://schemas.microsoft.com/office/drawing/2014/main" id="{EA9C40EB-20B7-4FF2-9AE2-D054F7FADAFE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37" name="Shape 5">
          <a:extLst>
            <a:ext uri="{FF2B5EF4-FFF2-40B4-BE49-F238E27FC236}">
              <a16:creationId xmlns:a16="http://schemas.microsoft.com/office/drawing/2014/main" id="{9F342560-04B6-4F62-B807-4A685F39B074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38" name="Shape 5">
          <a:extLst>
            <a:ext uri="{FF2B5EF4-FFF2-40B4-BE49-F238E27FC236}">
              <a16:creationId xmlns:a16="http://schemas.microsoft.com/office/drawing/2014/main" id="{0509AF0D-7127-4DAF-A851-E4A310841ED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39" name="Shape 5">
          <a:extLst>
            <a:ext uri="{FF2B5EF4-FFF2-40B4-BE49-F238E27FC236}">
              <a16:creationId xmlns:a16="http://schemas.microsoft.com/office/drawing/2014/main" id="{55752FA8-DE4B-422E-B8D1-9DF4E498DDE5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40" name="Shape 5">
          <a:extLst>
            <a:ext uri="{FF2B5EF4-FFF2-40B4-BE49-F238E27FC236}">
              <a16:creationId xmlns:a16="http://schemas.microsoft.com/office/drawing/2014/main" id="{5FBD6D9B-A7F5-4E39-ADBB-F7DD44E88614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41" name="Shape 5">
          <a:extLst>
            <a:ext uri="{FF2B5EF4-FFF2-40B4-BE49-F238E27FC236}">
              <a16:creationId xmlns:a16="http://schemas.microsoft.com/office/drawing/2014/main" id="{BED6A51E-E9C6-4498-986B-1062A9A24F21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24</xdr:row>
      <xdr:rowOff>0</xdr:rowOff>
    </xdr:from>
    <xdr:ext cx="38100" cy="9525"/>
    <xdr:sp macro="" textlink="">
      <xdr:nvSpPr>
        <xdr:cNvPr id="142" name="Shape 5">
          <a:extLst>
            <a:ext uri="{FF2B5EF4-FFF2-40B4-BE49-F238E27FC236}">
              <a16:creationId xmlns:a16="http://schemas.microsoft.com/office/drawing/2014/main" id="{7EE6419E-85CD-4D7C-B288-F7BBE0B3C76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25</xdr:row>
      <xdr:rowOff>0</xdr:rowOff>
    </xdr:from>
    <xdr:ext cx="38100" cy="9525"/>
    <xdr:sp macro="" textlink="">
      <xdr:nvSpPr>
        <xdr:cNvPr id="143" name="Shape 4">
          <a:extLst>
            <a:ext uri="{FF2B5EF4-FFF2-40B4-BE49-F238E27FC236}">
              <a16:creationId xmlns:a16="http://schemas.microsoft.com/office/drawing/2014/main" id="{370F586E-B584-47C4-B2F1-4A66FFD079F7}"/>
            </a:ext>
          </a:extLst>
        </xdr:cNvPr>
        <xdr:cNvSpPr/>
      </xdr:nvSpPr>
      <xdr:spPr>
        <a:xfrm>
          <a:off x="7791450" y="27146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25</xdr:row>
      <xdr:rowOff>0</xdr:rowOff>
    </xdr:from>
    <xdr:ext cx="38100" cy="9525"/>
    <xdr:sp macro="" textlink="">
      <xdr:nvSpPr>
        <xdr:cNvPr id="144" name="Shape 4">
          <a:extLst>
            <a:ext uri="{FF2B5EF4-FFF2-40B4-BE49-F238E27FC236}">
              <a16:creationId xmlns:a16="http://schemas.microsoft.com/office/drawing/2014/main" id="{FA2B58A6-E40E-427D-8892-BD68FF921D39}"/>
            </a:ext>
          </a:extLst>
        </xdr:cNvPr>
        <xdr:cNvSpPr/>
      </xdr:nvSpPr>
      <xdr:spPr>
        <a:xfrm>
          <a:off x="7791450" y="27146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25</xdr:row>
      <xdr:rowOff>0</xdr:rowOff>
    </xdr:from>
    <xdr:ext cx="38100" cy="9525"/>
    <xdr:sp macro="" textlink="">
      <xdr:nvSpPr>
        <xdr:cNvPr id="145" name="Shape 7">
          <a:extLst>
            <a:ext uri="{FF2B5EF4-FFF2-40B4-BE49-F238E27FC236}">
              <a16:creationId xmlns:a16="http://schemas.microsoft.com/office/drawing/2014/main" id="{0985401D-F732-4F63-86F3-747C3C6BEF78}"/>
            </a:ext>
          </a:extLst>
        </xdr:cNvPr>
        <xdr:cNvSpPr/>
      </xdr:nvSpPr>
      <xdr:spPr>
        <a:xfrm>
          <a:off x="7791450" y="27146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25</xdr:row>
      <xdr:rowOff>0</xdr:rowOff>
    </xdr:from>
    <xdr:ext cx="38100" cy="9525"/>
    <xdr:sp macro="" textlink="">
      <xdr:nvSpPr>
        <xdr:cNvPr id="146" name="Shape 7">
          <a:extLst>
            <a:ext uri="{FF2B5EF4-FFF2-40B4-BE49-F238E27FC236}">
              <a16:creationId xmlns:a16="http://schemas.microsoft.com/office/drawing/2014/main" id="{409743A1-39B6-4957-A927-19F2B8694A39}"/>
            </a:ext>
          </a:extLst>
        </xdr:cNvPr>
        <xdr:cNvSpPr/>
      </xdr:nvSpPr>
      <xdr:spPr>
        <a:xfrm>
          <a:off x="7791450" y="27146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25</xdr:row>
      <xdr:rowOff>0</xdr:rowOff>
    </xdr:from>
    <xdr:ext cx="38100" cy="9525"/>
    <xdr:sp macro="" textlink="">
      <xdr:nvSpPr>
        <xdr:cNvPr id="147" name="Shape 4">
          <a:extLst>
            <a:ext uri="{FF2B5EF4-FFF2-40B4-BE49-F238E27FC236}">
              <a16:creationId xmlns:a16="http://schemas.microsoft.com/office/drawing/2014/main" id="{4EA8E433-85B4-4A0B-8C78-02DEE00C91C0}"/>
            </a:ext>
          </a:extLst>
        </xdr:cNvPr>
        <xdr:cNvSpPr/>
      </xdr:nvSpPr>
      <xdr:spPr>
        <a:xfrm>
          <a:off x="7791450" y="27146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25</xdr:row>
      <xdr:rowOff>0</xdr:rowOff>
    </xdr:from>
    <xdr:ext cx="38100" cy="9525"/>
    <xdr:sp macro="" textlink="">
      <xdr:nvSpPr>
        <xdr:cNvPr id="148" name="Shape 4">
          <a:extLst>
            <a:ext uri="{FF2B5EF4-FFF2-40B4-BE49-F238E27FC236}">
              <a16:creationId xmlns:a16="http://schemas.microsoft.com/office/drawing/2014/main" id="{D115F86F-7C45-4D2B-B4BE-F6E70D1F8120}"/>
            </a:ext>
          </a:extLst>
        </xdr:cNvPr>
        <xdr:cNvSpPr/>
      </xdr:nvSpPr>
      <xdr:spPr>
        <a:xfrm>
          <a:off x="7791450" y="27146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49" name="Shape 5">
          <a:extLst>
            <a:ext uri="{FF2B5EF4-FFF2-40B4-BE49-F238E27FC236}">
              <a16:creationId xmlns:a16="http://schemas.microsoft.com/office/drawing/2014/main" id="{AFC646BD-9AB9-4123-94D7-ABBBB8AC89EF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50" name="Shape 5">
          <a:extLst>
            <a:ext uri="{FF2B5EF4-FFF2-40B4-BE49-F238E27FC236}">
              <a16:creationId xmlns:a16="http://schemas.microsoft.com/office/drawing/2014/main" id="{0A3B3FCD-A72A-4CE8-BD2A-C98AD6C4895D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51" name="Shape 5">
          <a:extLst>
            <a:ext uri="{FF2B5EF4-FFF2-40B4-BE49-F238E27FC236}">
              <a16:creationId xmlns:a16="http://schemas.microsoft.com/office/drawing/2014/main" id="{29D63258-F5B9-4E4F-8705-D18685D8FF49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52" name="Shape 5">
          <a:extLst>
            <a:ext uri="{FF2B5EF4-FFF2-40B4-BE49-F238E27FC236}">
              <a16:creationId xmlns:a16="http://schemas.microsoft.com/office/drawing/2014/main" id="{891953E3-8C12-415E-BB27-AD2A43942491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53" name="Shape 5">
          <a:extLst>
            <a:ext uri="{FF2B5EF4-FFF2-40B4-BE49-F238E27FC236}">
              <a16:creationId xmlns:a16="http://schemas.microsoft.com/office/drawing/2014/main" id="{E06F10A7-9B34-41E3-85A2-DD932603B952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154" name="Shape 4">
          <a:extLst>
            <a:ext uri="{FF2B5EF4-FFF2-40B4-BE49-F238E27FC236}">
              <a16:creationId xmlns:a16="http://schemas.microsoft.com/office/drawing/2014/main" id="{B482EA6A-9F10-4911-A201-B1301F688FCC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55" name="Shape 5">
          <a:extLst>
            <a:ext uri="{FF2B5EF4-FFF2-40B4-BE49-F238E27FC236}">
              <a16:creationId xmlns:a16="http://schemas.microsoft.com/office/drawing/2014/main" id="{A4290390-D72D-461A-BB4B-44CAB06836C1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156" name="Shape 4">
          <a:extLst>
            <a:ext uri="{FF2B5EF4-FFF2-40B4-BE49-F238E27FC236}">
              <a16:creationId xmlns:a16="http://schemas.microsoft.com/office/drawing/2014/main" id="{5E284E95-137C-47F0-AA98-29283187F9FF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57" name="Shape 6">
          <a:extLst>
            <a:ext uri="{FF2B5EF4-FFF2-40B4-BE49-F238E27FC236}">
              <a16:creationId xmlns:a16="http://schemas.microsoft.com/office/drawing/2014/main" id="{F47498F9-11A0-49D1-A83F-D52BAF8F1475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58" name="Shape 6">
          <a:extLst>
            <a:ext uri="{FF2B5EF4-FFF2-40B4-BE49-F238E27FC236}">
              <a16:creationId xmlns:a16="http://schemas.microsoft.com/office/drawing/2014/main" id="{255BA3E9-B1B4-47BC-B311-ACA05E4E47A6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59" name="Shape 6">
          <a:extLst>
            <a:ext uri="{FF2B5EF4-FFF2-40B4-BE49-F238E27FC236}">
              <a16:creationId xmlns:a16="http://schemas.microsoft.com/office/drawing/2014/main" id="{566FBB5E-B981-41D8-9297-FAD64050AF33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60" name="Shape 6">
          <a:extLst>
            <a:ext uri="{FF2B5EF4-FFF2-40B4-BE49-F238E27FC236}">
              <a16:creationId xmlns:a16="http://schemas.microsoft.com/office/drawing/2014/main" id="{4D139D83-BB49-4201-94E3-BA9EC95A0AC0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61" name="Shape 6">
          <a:extLst>
            <a:ext uri="{FF2B5EF4-FFF2-40B4-BE49-F238E27FC236}">
              <a16:creationId xmlns:a16="http://schemas.microsoft.com/office/drawing/2014/main" id="{33C15F4A-BDA0-46FE-8DEB-C0E1C9F9F060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62" name="Shape 6">
          <a:extLst>
            <a:ext uri="{FF2B5EF4-FFF2-40B4-BE49-F238E27FC236}">
              <a16:creationId xmlns:a16="http://schemas.microsoft.com/office/drawing/2014/main" id="{066B7839-4755-40AD-BF33-52FB008A5E84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63" name="Shape 6">
          <a:extLst>
            <a:ext uri="{FF2B5EF4-FFF2-40B4-BE49-F238E27FC236}">
              <a16:creationId xmlns:a16="http://schemas.microsoft.com/office/drawing/2014/main" id="{42789AE0-CB0D-4786-AE1E-2A3EA28EE363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64" name="Shape 6">
          <a:extLst>
            <a:ext uri="{FF2B5EF4-FFF2-40B4-BE49-F238E27FC236}">
              <a16:creationId xmlns:a16="http://schemas.microsoft.com/office/drawing/2014/main" id="{2614E4E1-4D87-484E-B78E-E9B223C68D97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65" name="Shape 6">
          <a:extLst>
            <a:ext uri="{FF2B5EF4-FFF2-40B4-BE49-F238E27FC236}">
              <a16:creationId xmlns:a16="http://schemas.microsoft.com/office/drawing/2014/main" id="{F9B9C37D-4246-4F6E-90DA-AE8893A74C75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66" name="Shape 5">
          <a:extLst>
            <a:ext uri="{FF2B5EF4-FFF2-40B4-BE49-F238E27FC236}">
              <a16:creationId xmlns:a16="http://schemas.microsoft.com/office/drawing/2014/main" id="{D062B24C-D738-44EB-B36C-AECD7B6FDAD6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67" name="Shape 5">
          <a:extLst>
            <a:ext uri="{FF2B5EF4-FFF2-40B4-BE49-F238E27FC236}">
              <a16:creationId xmlns:a16="http://schemas.microsoft.com/office/drawing/2014/main" id="{BFB6E60B-7823-49DE-AA88-2A552B3C6D89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68" name="Shape 5">
          <a:extLst>
            <a:ext uri="{FF2B5EF4-FFF2-40B4-BE49-F238E27FC236}">
              <a16:creationId xmlns:a16="http://schemas.microsoft.com/office/drawing/2014/main" id="{74093DE8-A4C8-4602-9DC6-FEAF99BBA323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69" name="Shape 5">
          <a:extLst>
            <a:ext uri="{FF2B5EF4-FFF2-40B4-BE49-F238E27FC236}">
              <a16:creationId xmlns:a16="http://schemas.microsoft.com/office/drawing/2014/main" id="{4AAF38DB-295B-4F9B-B649-CEEC5110E1CE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70" name="Shape 5">
          <a:extLst>
            <a:ext uri="{FF2B5EF4-FFF2-40B4-BE49-F238E27FC236}">
              <a16:creationId xmlns:a16="http://schemas.microsoft.com/office/drawing/2014/main" id="{E037933D-0BAE-4994-A371-6445E29248DD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71" name="Shape 5">
          <a:extLst>
            <a:ext uri="{FF2B5EF4-FFF2-40B4-BE49-F238E27FC236}">
              <a16:creationId xmlns:a16="http://schemas.microsoft.com/office/drawing/2014/main" id="{ED331320-5B39-408A-A088-6FBC890F42A9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72" name="Shape 5">
          <a:extLst>
            <a:ext uri="{FF2B5EF4-FFF2-40B4-BE49-F238E27FC236}">
              <a16:creationId xmlns:a16="http://schemas.microsoft.com/office/drawing/2014/main" id="{3227D326-25BE-4C78-BD9E-23935B827F7B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73" name="Shape 5">
          <a:extLst>
            <a:ext uri="{FF2B5EF4-FFF2-40B4-BE49-F238E27FC236}">
              <a16:creationId xmlns:a16="http://schemas.microsoft.com/office/drawing/2014/main" id="{459A94AF-AD7B-4883-970E-5117DEF3F89E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74" name="Shape 6">
          <a:extLst>
            <a:ext uri="{FF2B5EF4-FFF2-40B4-BE49-F238E27FC236}">
              <a16:creationId xmlns:a16="http://schemas.microsoft.com/office/drawing/2014/main" id="{01A70FF9-78AF-41B7-870D-BC745DFF19A4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75" name="Shape 6">
          <a:extLst>
            <a:ext uri="{FF2B5EF4-FFF2-40B4-BE49-F238E27FC236}">
              <a16:creationId xmlns:a16="http://schemas.microsoft.com/office/drawing/2014/main" id="{886AF8E5-A337-497B-B543-01279991C1D8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76" name="Shape 6">
          <a:extLst>
            <a:ext uri="{FF2B5EF4-FFF2-40B4-BE49-F238E27FC236}">
              <a16:creationId xmlns:a16="http://schemas.microsoft.com/office/drawing/2014/main" id="{F5E4E32A-EE67-4532-9DBF-425623161038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77" name="Shape 6">
          <a:extLst>
            <a:ext uri="{FF2B5EF4-FFF2-40B4-BE49-F238E27FC236}">
              <a16:creationId xmlns:a16="http://schemas.microsoft.com/office/drawing/2014/main" id="{D402BF8F-781B-4F6A-96EF-A0141EAB4C5C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78" name="Shape 6">
          <a:extLst>
            <a:ext uri="{FF2B5EF4-FFF2-40B4-BE49-F238E27FC236}">
              <a16:creationId xmlns:a16="http://schemas.microsoft.com/office/drawing/2014/main" id="{E95FD060-6850-420E-B8D8-509426CD584D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179" name="Shape 7">
          <a:extLst>
            <a:ext uri="{FF2B5EF4-FFF2-40B4-BE49-F238E27FC236}">
              <a16:creationId xmlns:a16="http://schemas.microsoft.com/office/drawing/2014/main" id="{8706DFD8-A417-4D97-AA38-84D57C3FBFC0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80" name="Shape 6">
          <a:extLst>
            <a:ext uri="{FF2B5EF4-FFF2-40B4-BE49-F238E27FC236}">
              <a16:creationId xmlns:a16="http://schemas.microsoft.com/office/drawing/2014/main" id="{47496094-23FC-4E90-8F7F-BC0D13906DA4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181" name="Shape 7">
          <a:extLst>
            <a:ext uri="{FF2B5EF4-FFF2-40B4-BE49-F238E27FC236}">
              <a16:creationId xmlns:a16="http://schemas.microsoft.com/office/drawing/2014/main" id="{295F5CC4-B787-45BE-A8D7-9480ADEA0CD1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28575" cy="9525"/>
    <xdr:sp macro="" textlink="">
      <xdr:nvSpPr>
        <xdr:cNvPr id="182" name="Shape 6">
          <a:extLst>
            <a:ext uri="{FF2B5EF4-FFF2-40B4-BE49-F238E27FC236}">
              <a16:creationId xmlns:a16="http://schemas.microsoft.com/office/drawing/2014/main" id="{FB237FC0-34D0-43B5-A072-136C42D1A179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83" name="Shape 6">
          <a:extLst>
            <a:ext uri="{FF2B5EF4-FFF2-40B4-BE49-F238E27FC236}">
              <a16:creationId xmlns:a16="http://schemas.microsoft.com/office/drawing/2014/main" id="{7BC36415-0C07-41A5-B6F1-4C743FEFD5BE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84" name="Shape 6">
          <a:extLst>
            <a:ext uri="{FF2B5EF4-FFF2-40B4-BE49-F238E27FC236}">
              <a16:creationId xmlns:a16="http://schemas.microsoft.com/office/drawing/2014/main" id="{AD5E56A4-7B21-4877-9F81-1B7BE0DA5970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85" name="Shape 6">
          <a:extLst>
            <a:ext uri="{FF2B5EF4-FFF2-40B4-BE49-F238E27FC236}">
              <a16:creationId xmlns:a16="http://schemas.microsoft.com/office/drawing/2014/main" id="{38EFB7E2-3080-4246-9453-66687E3D418C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86" name="Shape 6">
          <a:extLst>
            <a:ext uri="{FF2B5EF4-FFF2-40B4-BE49-F238E27FC236}">
              <a16:creationId xmlns:a16="http://schemas.microsoft.com/office/drawing/2014/main" id="{5F49D903-DFF7-478D-A833-C33BBF36AC11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87" name="Shape 6">
          <a:extLst>
            <a:ext uri="{FF2B5EF4-FFF2-40B4-BE49-F238E27FC236}">
              <a16:creationId xmlns:a16="http://schemas.microsoft.com/office/drawing/2014/main" id="{7C43A58D-1F74-49E6-A0D6-48F8D4A806B4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88" name="Shape 5">
          <a:extLst>
            <a:ext uri="{FF2B5EF4-FFF2-40B4-BE49-F238E27FC236}">
              <a16:creationId xmlns:a16="http://schemas.microsoft.com/office/drawing/2014/main" id="{59A6E7E9-3259-4CA9-9AF7-A6CB880538C2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89" name="Shape 5">
          <a:extLst>
            <a:ext uri="{FF2B5EF4-FFF2-40B4-BE49-F238E27FC236}">
              <a16:creationId xmlns:a16="http://schemas.microsoft.com/office/drawing/2014/main" id="{4001FEFC-D308-4281-A291-75F85555D025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90" name="Shape 5">
          <a:extLst>
            <a:ext uri="{FF2B5EF4-FFF2-40B4-BE49-F238E27FC236}">
              <a16:creationId xmlns:a16="http://schemas.microsoft.com/office/drawing/2014/main" id="{5C1A89A8-B04F-4FAE-A9FD-7A77D286C300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91" name="Shape 5">
          <a:extLst>
            <a:ext uri="{FF2B5EF4-FFF2-40B4-BE49-F238E27FC236}">
              <a16:creationId xmlns:a16="http://schemas.microsoft.com/office/drawing/2014/main" id="{6F52E635-F30B-4B37-959E-2AB4431A839C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92" name="Shape 5">
          <a:extLst>
            <a:ext uri="{FF2B5EF4-FFF2-40B4-BE49-F238E27FC236}">
              <a16:creationId xmlns:a16="http://schemas.microsoft.com/office/drawing/2014/main" id="{D9732752-4CBF-463F-90B9-9302D16D8B2D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193" name="Shape 4">
          <a:extLst>
            <a:ext uri="{FF2B5EF4-FFF2-40B4-BE49-F238E27FC236}">
              <a16:creationId xmlns:a16="http://schemas.microsoft.com/office/drawing/2014/main" id="{544F1156-70F0-4F26-A50B-B6380B7724C5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94" name="Shape 5">
          <a:extLst>
            <a:ext uri="{FF2B5EF4-FFF2-40B4-BE49-F238E27FC236}">
              <a16:creationId xmlns:a16="http://schemas.microsoft.com/office/drawing/2014/main" id="{8B627B6E-8617-4CBB-A3B2-5686206F1010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195" name="Shape 4">
          <a:extLst>
            <a:ext uri="{FF2B5EF4-FFF2-40B4-BE49-F238E27FC236}">
              <a16:creationId xmlns:a16="http://schemas.microsoft.com/office/drawing/2014/main" id="{17054080-0CA7-4B64-ABBD-D9640114A0AE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96" name="Shape 5">
          <a:extLst>
            <a:ext uri="{FF2B5EF4-FFF2-40B4-BE49-F238E27FC236}">
              <a16:creationId xmlns:a16="http://schemas.microsoft.com/office/drawing/2014/main" id="{4297B4DD-7149-438B-ACEB-BE61436FFF1E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97" name="Shape 5">
          <a:extLst>
            <a:ext uri="{FF2B5EF4-FFF2-40B4-BE49-F238E27FC236}">
              <a16:creationId xmlns:a16="http://schemas.microsoft.com/office/drawing/2014/main" id="{2DF18878-B5D1-4F9D-9C5C-6A8EF1EFC3F9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98" name="Shape 5">
          <a:extLst>
            <a:ext uri="{FF2B5EF4-FFF2-40B4-BE49-F238E27FC236}">
              <a16:creationId xmlns:a16="http://schemas.microsoft.com/office/drawing/2014/main" id="{2E9BF36F-E473-4F4E-A806-43C64745B69C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8DFBEC18-D0D5-4948-91F3-60A570295DF8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200" name="Shape 5">
          <a:extLst>
            <a:ext uri="{FF2B5EF4-FFF2-40B4-BE49-F238E27FC236}">
              <a16:creationId xmlns:a16="http://schemas.microsoft.com/office/drawing/2014/main" id="{F3E63BB0-0DF8-47EB-B36C-4622661614DF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201" name="Shape 5">
          <a:extLst>
            <a:ext uri="{FF2B5EF4-FFF2-40B4-BE49-F238E27FC236}">
              <a16:creationId xmlns:a16="http://schemas.microsoft.com/office/drawing/2014/main" id="{C687B84C-88B5-42B9-BA84-D3579A5E1828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202" name="Shape 5">
          <a:extLst>
            <a:ext uri="{FF2B5EF4-FFF2-40B4-BE49-F238E27FC236}">
              <a16:creationId xmlns:a16="http://schemas.microsoft.com/office/drawing/2014/main" id="{ABC53CE7-EB56-495B-A93C-204DEF13B9B3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FEA33963-D59F-45C3-9AD8-1CDB48095120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204" name="Shape 5">
          <a:extLst>
            <a:ext uri="{FF2B5EF4-FFF2-40B4-BE49-F238E27FC236}">
              <a16:creationId xmlns:a16="http://schemas.microsoft.com/office/drawing/2014/main" id="{2B1976C0-FDD3-40D4-B184-8E5B526B8697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0BB01CBB-833F-43B1-8A68-AE8F118092D8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46</xdr:row>
      <xdr:rowOff>0</xdr:rowOff>
    </xdr:from>
    <xdr:ext cx="38100" cy="9525"/>
    <xdr:sp macro="" textlink="">
      <xdr:nvSpPr>
        <xdr:cNvPr id="206" name="Shape 5">
          <a:extLst>
            <a:ext uri="{FF2B5EF4-FFF2-40B4-BE49-F238E27FC236}">
              <a16:creationId xmlns:a16="http://schemas.microsoft.com/office/drawing/2014/main" id="{5211B13F-C411-42BF-A28B-B13363D3668F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47</xdr:row>
      <xdr:rowOff>0</xdr:rowOff>
    </xdr:from>
    <xdr:ext cx="38100" cy="9525"/>
    <xdr:sp macro="" textlink="">
      <xdr:nvSpPr>
        <xdr:cNvPr id="207" name="Shape 4">
          <a:extLst>
            <a:ext uri="{FF2B5EF4-FFF2-40B4-BE49-F238E27FC236}">
              <a16:creationId xmlns:a16="http://schemas.microsoft.com/office/drawing/2014/main" id="{FDC425FE-E65A-4CF4-8639-C8D64E6BC39A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47</xdr:row>
      <xdr:rowOff>0</xdr:rowOff>
    </xdr:from>
    <xdr:ext cx="38100" cy="9525"/>
    <xdr:sp macro="" textlink="">
      <xdr:nvSpPr>
        <xdr:cNvPr id="208" name="Shape 4">
          <a:extLst>
            <a:ext uri="{FF2B5EF4-FFF2-40B4-BE49-F238E27FC236}">
              <a16:creationId xmlns:a16="http://schemas.microsoft.com/office/drawing/2014/main" id="{47B104C1-FEAC-4CFC-A4D6-A2BBDDF3CBAF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47</xdr:row>
      <xdr:rowOff>0</xdr:rowOff>
    </xdr:from>
    <xdr:ext cx="38100" cy="9525"/>
    <xdr:sp macro="" textlink="">
      <xdr:nvSpPr>
        <xdr:cNvPr id="209" name="Shape 7">
          <a:extLst>
            <a:ext uri="{FF2B5EF4-FFF2-40B4-BE49-F238E27FC236}">
              <a16:creationId xmlns:a16="http://schemas.microsoft.com/office/drawing/2014/main" id="{DB627767-2977-4271-BE6B-66DABCE5EB60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47</xdr:row>
      <xdr:rowOff>0</xdr:rowOff>
    </xdr:from>
    <xdr:ext cx="38100" cy="9525"/>
    <xdr:sp macro="" textlink="">
      <xdr:nvSpPr>
        <xdr:cNvPr id="210" name="Shape 7">
          <a:extLst>
            <a:ext uri="{FF2B5EF4-FFF2-40B4-BE49-F238E27FC236}">
              <a16:creationId xmlns:a16="http://schemas.microsoft.com/office/drawing/2014/main" id="{CC0559D0-6177-4CA3-AD94-19E89B3A8C8C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47</xdr:row>
      <xdr:rowOff>0</xdr:rowOff>
    </xdr:from>
    <xdr:ext cx="38100" cy="9525"/>
    <xdr:sp macro="" textlink="">
      <xdr:nvSpPr>
        <xdr:cNvPr id="211" name="Shape 4">
          <a:extLst>
            <a:ext uri="{FF2B5EF4-FFF2-40B4-BE49-F238E27FC236}">
              <a16:creationId xmlns:a16="http://schemas.microsoft.com/office/drawing/2014/main" id="{CE1A8632-928E-497B-A99E-07CEAF591BA4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47</xdr:row>
      <xdr:rowOff>0</xdr:rowOff>
    </xdr:from>
    <xdr:ext cx="38100" cy="9525"/>
    <xdr:sp macro="" textlink="">
      <xdr:nvSpPr>
        <xdr:cNvPr id="212" name="Shape 4">
          <a:extLst>
            <a:ext uri="{FF2B5EF4-FFF2-40B4-BE49-F238E27FC236}">
              <a16:creationId xmlns:a16="http://schemas.microsoft.com/office/drawing/2014/main" id="{4DF2D51F-F241-478A-B360-467EC2A5D460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13" name="Shape 5">
          <a:extLst>
            <a:ext uri="{FF2B5EF4-FFF2-40B4-BE49-F238E27FC236}">
              <a16:creationId xmlns:a16="http://schemas.microsoft.com/office/drawing/2014/main" id="{F284C968-FB3B-4AFA-82F5-A8DACEAD40FA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14" name="Shape 5">
          <a:extLst>
            <a:ext uri="{FF2B5EF4-FFF2-40B4-BE49-F238E27FC236}">
              <a16:creationId xmlns:a16="http://schemas.microsoft.com/office/drawing/2014/main" id="{3428B4A8-5A76-4804-BD6F-D121660489BD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15" name="Shape 5">
          <a:extLst>
            <a:ext uri="{FF2B5EF4-FFF2-40B4-BE49-F238E27FC236}">
              <a16:creationId xmlns:a16="http://schemas.microsoft.com/office/drawing/2014/main" id="{347EAD01-38A0-494D-896E-E9F612CED57D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16" name="Shape 5">
          <a:extLst>
            <a:ext uri="{FF2B5EF4-FFF2-40B4-BE49-F238E27FC236}">
              <a16:creationId xmlns:a16="http://schemas.microsoft.com/office/drawing/2014/main" id="{A2753ACB-0166-4C13-9408-8C1FF808509D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17" name="Shape 5">
          <a:extLst>
            <a:ext uri="{FF2B5EF4-FFF2-40B4-BE49-F238E27FC236}">
              <a16:creationId xmlns:a16="http://schemas.microsoft.com/office/drawing/2014/main" id="{CF1F695A-5168-449E-A569-4991E6ACAD45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18" name="Shape 4">
          <a:extLst>
            <a:ext uri="{FF2B5EF4-FFF2-40B4-BE49-F238E27FC236}">
              <a16:creationId xmlns:a16="http://schemas.microsoft.com/office/drawing/2014/main" id="{1D7F54C3-7A11-48AA-A6AD-30696884C859}"/>
            </a:ext>
          </a:extLst>
        </xdr:cNvPr>
        <xdr:cNvSpPr/>
      </xdr:nvSpPr>
      <xdr:spPr>
        <a:xfrm>
          <a:off x="7791450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B834EA20-5434-45AC-847E-7B6E266BDF78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20" name="Shape 4">
          <a:extLst>
            <a:ext uri="{FF2B5EF4-FFF2-40B4-BE49-F238E27FC236}">
              <a16:creationId xmlns:a16="http://schemas.microsoft.com/office/drawing/2014/main" id="{81E0A8E2-6EAB-4643-85F4-7B00B9E9DA85}"/>
            </a:ext>
          </a:extLst>
        </xdr:cNvPr>
        <xdr:cNvSpPr/>
      </xdr:nvSpPr>
      <xdr:spPr>
        <a:xfrm>
          <a:off x="7791450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21" name="Shape 6">
          <a:extLst>
            <a:ext uri="{FF2B5EF4-FFF2-40B4-BE49-F238E27FC236}">
              <a16:creationId xmlns:a16="http://schemas.microsoft.com/office/drawing/2014/main" id="{19EF6561-3BD9-4526-AC21-3B4E3437070E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22" name="Shape 6">
          <a:extLst>
            <a:ext uri="{FF2B5EF4-FFF2-40B4-BE49-F238E27FC236}">
              <a16:creationId xmlns:a16="http://schemas.microsoft.com/office/drawing/2014/main" id="{D6D950DA-58B3-4236-904C-4EEBB373EEE2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23" name="Shape 6">
          <a:extLst>
            <a:ext uri="{FF2B5EF4-FFF2-40B4-BE49-F238E27FC236}">
              <a16:creationId xmlns:a16="http://schemas.microsoft.com/office/drawing/2014/main" id="{B644E1B6-7721-4292-A15D-9017D0E9A390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24" name="Shape 6">
          <a:extLst>
            <a:ext uri="{FF2B5EF4-FFF2-40B4-BE49-F238E27FC236}">
              <a16:creationId xmlns:a16="http://schemas.microsoft.com/office/drawing/2014/main" id="{370BF1F5-F69F-4E91-8EF3-C4A2719CCA1E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25" name="Shape 6">
          <a:extLst>
            <a:ext uri="{FF2B5EF4-FFF2-40B4-BE49-F238E27FC236}">
              <a16:creationId xmlns:a16="http://schemas.microsoft.com/office/drawing/2014/main" id="{AAE159C6-8702-4D4A-956B-C7D457BDCC7D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26" name="Shape 6">
          <a:extLst>
            <a:ext uri="{FF2B5EF4-FFF2-40B4-BE49-F238E27FC236}">
              <a16:creationId xmlns:a16="http://schemas.microsoft.com/office/drawing/2014/main" id="{B375C876-780C-4DD0-AE19-B1C6F4636121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27" name="Shape 6">
          <a:extLst>
            <a:ext uri="{FF2B5EF4-FFF2-40B4-BE49-F238E27FC236}">
              <a16:creationId xmlns:a16="http://schemas.microsoft.com/office/drawing/2014/main" id="{408687FE-1136-4604-9A70-B4BD1018865F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28" name="Shape 6">
          <a:extLst>
            <a:ext uri="{FF2B5EF4-FFF2-40B4-BE49-F238E27FC236}">
              <a16:creationId xmlns:a16="http://schemas.microsoft.com/office/drawing/2014/main" id="{677E1ABB-AD8A-44F0-A777-4C891FBCBB86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29" name="Shape 6">
          <a:extLst>
            <a:ext uri="{FF2B5EF4-FFF2-40B4-BE49-F238E27FC236}">
              <a16:creationId xmlns:a16="http://schemas.microsoft.com/office/drawing/2014/main" id="{68B63F2F-08BF-422C-A290-82CF82B8EF78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30" name="Shape 5">
          <a:extLst>
            <a:ext uri="{FF2B5EF4-FFF2-40B4-BE49-F238E27FC236}">
              <a16:creationId xmlns:a16="http://schemas.microsoft.com/office/drawing/2014/main" id="{B59AB89E-E8EB-4D69-B567-83F44B3833A0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31" name="Shape 5">
          <a:extLst>
            <a:ext uri="{FF2B5EF4-FFF2-40B4-BE49-F238E27FC236}">
              <a16:creationId xmlns:a16="http://schemas.microsoft.com/office/drawing/2014/main" id="{C315835E-845D-4CFF-A620-643F27B5B5BD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32" name="Shape 5">
          <a:extLst>
            <a:ext uri="{FF2B5EF4-FFF2-40B4-BE49-F238E27FC236}">
              <a16:creationId xmlns:a16="http://schemas.microsoft.com/office/drawing/2014/main" id="{7AC201BC-DC60-499E-BE87-CB32BDA618E6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33" name="Shape 5">
          <a:extLst>
            <a:ext uri="{FF2B5EF4-FFF2-40B4-BE49-F238E27FC236}">
              <a16:creationId xmlns:a16="http://schemas.microsoft.com/office/drawing/2014/main" id="{EB5CFAFF-71CB-4F1E-88D3-31BDC57522ED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34" name="Shape 5">
          <a:extLst>
            <a:ext uri="{FF2B5EF4-FFF2-40B4-BE49-F238E27FC236}">
              <a16:creationId xmlns:a16="http://schemas.microsoft.com/office/drawing/2014/main" id="{691ADB8A-BAF8-4DE2-9025-E203F6153AB0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35" name="Shape 5">
          <a:extLst>
            <a:ext uri="{FF2B5EF4-FFF2-40B4-BE49-F238E27FC236}">
              <a16:creationId xmlns:a16="http://schemas.microsoft.com/office/drawing/2014/main" id="{C586CC0B-8637-4247-8F88-5E05AAF9AAA0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36" name="Shape 5">
          <a:extLst>
            <a:ext uri="{FF2B5EF4-FFF2-40B4-BE49-F238E27FC236}">
              <a16:creationId xmlns:a16="http://schemas.microsoft.com/office/drawing/2014/main" id="{7B7D35A1-264F-429A-BAD2-0302AC47EE41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37" name="Shape 5">
          <a:extLst>
            <a:ext uri="{FF2B5EF4-FFF2-40B4-BE49-F238E27FC236}">
              <a16:creationId xmlns:a16="http://schemas.microsoft.com/office/drawing/2014/main" id="{297980BE-B63C-44CA-AD9C-4DC4F07DC7D0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38" name="Shape 6">
          <a:extLst>
            <a:ext uri="{FF2B5EF4-FFF2-40B4-BE49-F238E27FC236}">
              <a16:creationId xmlns:a16="http://schemas.microsoft.com/office/drawing/2014/main" id="{AD077459-C5B0-4F0E-94D2-78F79379C551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39" name="Shape 6">
          <a:extLst>
            <a:ext uri="{FF2B5EF4-FFF2-40B4-BE49-F238E27FC236}">
              <a16:creationId xmlns:a16="http://schemas.microsoft.com/office/drawing/2014/main" id="{100456BF-54FA-48CE-A5B4-A13A49392623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40" name="Shape 6">
          <a:extLst>
            <a:ext uri="{FF2B5EF4-FFF2-40B4-BE49-F238E27FC236}">
              <a16:creationId xmlns:a16="http://schemas.microsoft.com/office/drawing/2014/main" id="{11972AB3-0354-4F10-A2A2-2DB8FF672522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41" name="Shape 6">
          <a:extLst>
            <a:ext uri="{FF2B5EF4-FFF2-40B4-BE49-F238E27FC236}">
              <a16:creationId xmlns:a16="http://schemas.microsoft.com/office/drawing/2014/main" id="{9F9D02E5-AF88-49FE-8544-2E86EEBCD66F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42" name="Shape 6">
          <a:extLst>
            <a:ext uri="{FF2B5EF4-FFF2-40B4-BE49-F238E27FC236}">
              <a16:creationId xmlns:a16="http://schemas.microsoft.com/office/drawing/2014/main" id="{E91F1916-824B-43FC-8080-8536061CCE07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43" name="Shape 7">
          <a:extLst>
            <a:ext uri="{FF2B5EF4-FFF2-40B4-BE49-F238E27FC236}">
              <a16:creationId xmlns:a16="http://schemas.microsoft.com/office/drawing/2014/main" id="{841559F5-F9BB-4102-BF47-2DB299ACA947}"/>
            </a:ext>
          </a:extLst>
        </xdr:cNvPr>
        <xdr:cNvSpPr/>
      </xdr:nvSpPr>
      <xdr:spPr>
        <a:xfrm>
          <a:off x="7791450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44" name="Shape 6">
          <a:extLst>
            <a:ext uri="{FF2B5EF4-FFF2-40B4-BE49-F238E27FC236}">
              <a16:creationId xmlns:a16="http://schemas.microsoft.com/office/drawing/2014/main" id="{CC905F90-B46C-4A02-85CA-183F7FDCE594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45" name="Shape 7">
          <a:extLst>
            <a:ext uri="{FF2B5EF4-FFF2-40B4-BE49-F238E27FC236}">
              <a16:creationId xmlns:a16="http://schemas.microsoft.com/office/drawing/2014/main" id="{295E19A6-D7EF-4EB7-8543-2C26A0EC7572}"/>
            </a:ext>
          </a:extLst>
        </xdr:cNvPr>
        <xdr:cNvSpPr/>
      </xdr:nvSpPr>
      <xdr:spPr>
        <a:xfrm>
          <a:off x="7791450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28575" cy="9525"/>
    <xdr:sp macro="" textlink="">
      <xdr:nvSpPr>
        <xdr:cNvPr id="246" name="Shape 6">
          <a:extLst>
            <a:ext uri="{FF2B5EF4-FFF2-40B4-BE49-F238E27FC236}">
              <a16:creationId xmlns:a16="http://schemas.microsoft.com/office/drawing/2014/main" id="{9DAF251F-358F-4BFC-81B0-53A81CA115D8}"/>
            </a:ext>
          </a:extLst>
        </xdr:cNvPr>
        <xdr:cNvSpPr/>
      </xdr:nvSpPr>
      <xdr:spPr>
        <a:xfrm>
          <a:off x="1514475" y="61817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47" name="Shape 6">
          <a:extLst>
            <a:ext uri="{FF2B5EF4-FFF2-40B4-BE49-F238E27FC236}">
              <a16:creationId xmlns:a16="http://schemas.microsoft.com/office/drawing/2014/main" id="{BD51B8C4-208E-4CEE-A946-6827FF1C59AF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48" name="Shape 6">
          <a:extLst>
            <a:ext uri="{FF2B5EF4-FFF2-40B4-BE49-F238E27FC236}">
              <a16:creationId xmlns:a16="http://schemas.microsoft.com/office/drawing/2014/main" id="{2F55200A-AC32-4F7C-A9E8-DB4636538BED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49" name="Shape 6">
          <a:extLst>
            <a:ext uri="{FF2B5EF4-FFF2-40B4-BE49-F238E27FC236}">
              <a16:creationId xmlns:a16="http://schemas.microsoft.com/office/drawing/2014/main" id="{E69815F6-77F5-46B9-9CF1-DE291866C38E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50" name="Shape 6">
          <a:extLst>
            <a:ext uri="{FF2B5EF4-FFF2-40B4-BE49-F238E27FC236}">
              <a16:creationId xmlns:a16="http://schemas.microsoft.com/office/drawing/2014/main" id="{2BE46335-5E6C-451A-8B58-12CF3AA436C2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51" name="Shape 6">
          <a:extLst>
            <a:ext uri="{FF2B5EF4-FFF2-40B4-BE49-F238E27FC236}">
              <a16:creationId xmlns:a16="http://schemas.microsoft.com/office/drawing/2014/main" id="{E3B73C1B-EE20-412F-9FF7-B8C989E47E13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52" name="Shape 5">
          <a:extLst>
            <a:ext uri="{FF2B5EF4-FFF2-40B4-BE49-F238E27FC236}">
              <a16:creationId xmlns:a16="http://schemas.microsoft.com/office/drawing/2014/main" id="{9259DF3C-B19B-4A8E-8357-E35ADCDD5300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53" name="Shape 5">
          <a:extLst>
            <a:ext uri="{FF2B5EF4-FFF2-40B4-BE49-F238E27FC236}">
              <a16:creationId xmlns:a16="http://schemas.microsoft.com/office/drawing/2014/main" id="{282DCBE9-D45D-4EFB-8767-C356B4666DA9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54" name="Shape 5">
          <a:extLst>
            <a:ext uri="{FF2B5EF4-FFF2-40B4-BE49-F238E27FC236}">
              <a16:creationId xmlns:a16="http://schemas.microsoft.com/office/drawing/2014/main" id="{1B387290-C132-4F61-A14A-29C1F29873B8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55" name="Shape 5">
          <a:extLst>
            <a:ext uri="{FF2B5EF4-FFF2-40B4-BE49-F238E27FC236}">
              <a16:creationId xmlns:a16="http://schemas.microsoft.com/office/drawing/2014/main" id="{5EA0FC14-C09C-4A6D-8B84-E50D5F8EE0A7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56" name="Shape 5">
          <a:extLst>
            <a:ext uri="{FF2B5EF4-FFF2-40B4-BE49-F238E27FC236}">
              <a16:creationId xmlns:a16="http://schemas.microsoft.com/office/drawing/2014/main" id="{1B47514E-1AB6-4F42-9AC7-D17232FA096F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57" name="Shape 4">
          <a:extLst>
            <a:ext uri="{FF2B5EF4-FFF2-40B4-BE49-F238E27FC236}">
              <a16:creationId xmlns:a16="http://schemas.microsoft.com/office/drawing/2014/main" id="{9A829B6A-6A0B-4472-8A21-B8DB8DC27DB3}"/>
            </a:ext>
          </a:extLst>
        </xdr:cNvPr>
        <xdr:cNvSpPr/>
      </xdr:nvSpPr>
      <xdr:spPr>
        <a:xfrm>
          <a:off x="7791450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58" name="Shape 5">
          <a:extLst>
            <a:ext uri="{FF2B5EF4-FFF2-40B4-BE49-F238E27FC236}">
              <a16:creationId xmlns:a16="http://schemas.microsoft.com/office/drawing/2014/main" id="{54C1B284-69B0-499D-8024-A71007C138D3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59" name="Shape 4">
          <a:extLst>
            <a:ext uri="{FF2B5EF4-FFF2-40B4-BE49-F238E27FC236}">
              <a16:creationId xmlns:a16="http://schemas.microsoft.com/office/drawing/2014/main" id="{6209A348-FE69-45A5-80C0-657589199190}"/>
            </a:ext>
          </a:extLst>
        </xdr:cNvPr>
        <xdr:cNvSpPr/>
      </xdr:nvSpPr>
      <xdr:spPr>
        <a:xfrm>
          <a:off x="7791450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0" name="Shape 5">
          <a:extLst>
            <a:ext uri="{FF2B5EF4-FFF2-40B4-BE49-F238E27FC236}">
              <a16:creationId xmlns:a16="http://schemas.microsoft.com/office/drawing/2014/main" id="{50422265-4EF0-45BC-AE90-54549D91B83C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1" name="Shape 5">
          <a:extLst>
            <a:ext uri="{FF2B5EF4-FFF2-40B4-BE49-F238E27FC236}">
              <a16:creationId xmlns:a16="http://schemas.microsoft.com/office/drawing/2014/main" id="{636941C1-DE51-42A7-AD94-CAAED4233B41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2" name="Shape 5">
          <a:extLst>
            <a:ext uri="{FF2B5EF4-FFF2-40B4-BE49-F238E27FC236}">
              <a16:creationId xmlns:a16="http://schemas.microsoft.com/office/drawing/2014/main" id="{5E182E8E-9506-4797-BF05-786661A9B9B7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3" name="Shape 5">
          <a:extLst>
            <a:ext uri="{FF2B5EF4-FFF2-40B4-BE49-F238E27FC236}">
              <a16:creationId xmlns:a16="http://schemas.microsoft.com/office/drawing/2014/main" id="{EA70E9E6-A32A-44C5-9026-7B9438F13A3B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4" name="Shape 5">
          <a:extLst>
            <a:ext uri="{FF2B5EF4-FFF2-40B4-BE49-F238E27FC236}">
              <a16:creationId xmlns:a16="http://schemas.microsoft.com/office/drawing/2014/main" id="{569E8398-A6B4-4645-B6B2-6CD8A18487EC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5" name="Shape 5">
          <a:extLst>
            <a:ext uri="{FF2B5EF4-FFF2-40B4-BE49-F238E27FC236}">
              <a16:creationId xmlns:a16="http://schemas.microsoft.com/office/drawing/2014/main" id="{833AA31F-E9E9-4549-A63C-C0CA778007BF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6" name="Shape 5">
          <a:extLst>
            <a:ext uri="{FF2B5EF4-FFF2-40B4-BE49-F238E27FC236}">
              <a16:creationId xmlns:a16="http://schemas.microsoft.com/office/drawing/2014/main" id="{F254DB15-C436-4C2E-8C9C-22E66AEAD170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7" name="Shape 5">
          <a:extLst>
            <a:ext uri="{FF2B5EF4-FFF2-40B4-BE49-F238E27FC236}">
              <a16:creationId xmlns:a16="http://schemas.microsoft.com/office/drawing/2014/main" id="{48E45DFB-4118-44F0-82C0-CFF4AF8D36F8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8" name="Shape 5">
          <a:extLst>
            <a:ext uri="{FF2B5EF4-FFF2-40B4-BE49-F238E27FC236}">
              <a16:creationId xmlns:a16="http://schemas.microsoft.com/office/drawing/2014/main" id="{320ED774-EE37-4AB1-9388-D7F3DBF51B89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69" name="Shape 5">
          <a:extLst>
            <a:ext uri="{FF2B5EF4-FFF2-40B4-BE49-F238E27FC236}">
              <a16:creationId xmlns:a16="http://schemas.microsoft.com/office/drawing/2014/main" id="{B83D7F04-546B-46A7-AA92-DCA1D13285D5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56</xdr:row>
      <xdr:rowOff>0</xdr:rowOff>
    </xdr:from>
    <xdr:ext cx="38100" cy="9525"/>
    <xdr:sp macro="" textlink="">
      <xdr:nvSpPr>
        <xdr:cNvPr id="270" name="Shape 5">
          <a:extLst>
            <a:ext uri="{FF2B5EF4-FFF2-40B4-BE49-F238E27FC236}">
              <a16:creationId xmlns:a16="http://schemas.microsoft.com/office/drawing/2014/main" id="{48C33641-7B32-448E-8CF5-3899B32DDD07}"/>
            </a:ext>
          </a:extLst>
        </xdr:cNvPr>
        <xdr:cNvSpPr/>
      </xdr:nvSpPr>
      <xdr:spPr>
        <a:xfrm>
          <a:off x="1514475" y="61817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57</xdr:row>
      <xdr:rowOff>0</xdr:rowOff>
    </xdr:from>
    <xdr:ext cx="38100" cy="9525"/>
    <xdr:sp macro="" textlink="">
      <xdr:nvSpPr>
        <xdr:cNvPr id="271" name="Shape 4">
          <a:extLst>
            <a:ext uri="{FF2B5EF4-FFF2-40B4-BE49-F238E27FC236}">
              <a16:creationId xmlns:a16="http://schemas.microsoft.com/office/drawing/2014/main" id="{439EA648-94B7-43E9-A344-83311DAD8B83}"/>
            </a:ext>
          </a:extLst>
        </xdr:cNvPr>
        <xdr:cNvSpPr/>
      </xdr:nvSpPr>
      <xdr:spPr>
        <a:xfrm>
          <a:off x="7791450" y="63722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57</xdr:row>
      <xdr:rowOff>0</xdr:rowOff>
    </xdr:from>
    <xdr:ext cx="38100" cy="9525"/>
    <xdr:sp macro="" textlink="">
      <xdr:nvSpPr>
        <xdr:cNvPr id="272" name="Shape 4">
          <a:extLst>
            <a:ext uri="{FF2B5EF4-FFF2-40B4-BE49-F238E27FC236}">
              <a16:creationId xmlns:a16="http://schemas.microsoft.com/office/drawing/2014/main" id="{CE48F4F2-453E-458E-9F87-DDA5218668EE}"/>
            </a:ext>
          </a:extLst>
        </xdr:cNvPr>
        <xdr:cNvSpPr/>
      </xdr:nvSpPr>
      <xdr:spPr>
        <a:xfrm>
          <a:off x="7791450" y="63722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57</xdr:row>
      <xdr:rowOff>0</xdr:rowOff>
    </xdr:from>
    <xdr:ext cx="38100" cy="9525"/>
    <xdr:sp macro="" textlink="">
      <xdr:nvSpPr>
        <xdr:cNvPr id="273" name="Shape 7">
          <a:extLst>
            <a:ext uri="{FF2B5EF4-FFF2-40B4-BE49-F238E27FC236}">
              <a16:creationId xmlns:a16="http://schemas.microsoft.com/office/drawing/2014/main" id="{CCF34362-7358-4654-AEE4-F4A324BA1A23}"/>
            </a:ext>
          </a:extLst>
        </xdr:cNvPr>
        <xdr:cNvSpPr/>
      </xdr:nvSpPr>
      <xdr:spPr>
        <a:xfrm>
          <a:off x="7791450" y="63722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57</xdr:row>
      <xdr:rowOff>0</xdr:rowOff>
    </xdr:from>
    <xdr:ext cx="38100" cy="9525"/>
    <xdr:sp macro="" textlink="">
      <xdr:nvSpPr>
        <xdr:cNvPr id="274" name="Shape 7">
          <a:extLst>
            <a:ext uri="{FF2B5EF4-FFF2-40B4-BE49-F238E27FC236}">
              <a16:creationId xmlns:a16="http://schemas.microsoft.com/office/drawing/2014/main" id="{F22FA846-0BFC-4DEB-9071-FCD4F9627514}"/>
            </a:ext>
          </a:extLst>
        </xdr:cNvPr>
        <xdr:cNvSpPr/>
      </xdr:nvSpPr>
      <xdr:spPr>
        <a:xfrm>
          <a:off x="7791450" y="63722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57</xdr:row>
      <xdr:rowOff>0</xdr:rowOff>
    </xdr:from>
    <xdr:ext cx="38100" cy="9525"/>
    <xdr:sp macro="" textlink="">
      <xdr:nvSpPr>
        <xdr:cNvPr id="275" name="Shape 4">
          <a:extLst>
            <a:ext uri="{FF2B5EF4-FFF2-40B4-BE49-F238E27FC236}">
              <a16:creationId xmlns:a16="http://schemas.microsoft.com/office/drawing/2014/main" id="{DDDBAC53-292B-4986-A8DE-E89635D8CFCB}"/>
            </a:ext>
          </a:extLst>
        </xdr:cNvPr>
        <xdr:cNvSpPr/>
      </xdr:nvSpPr>
      <xdr:spPr>
        <a:xfrm>
          <a:off x="7791450" y="63722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57</xdr:row>
      <xdr:rowOff>0</xdr:rowOff>
    </xdr:from>
    <xdr:ext cx="38100" cy="9525"/>
    <xdr:sp macro="" textlink="">
      <xdr:nvSpPr>
        <xdr:cNvPr id="276" name="Shape 4">
          <a:extLst>
            <a:ext uri="{FF2B5EF4-FFF2-40B4-BE49-F238E27FC236}">
              <a16:creationId xmlns:a16="http://schemas.microsoft.com/office/drawing/2014/main" id="{E7049488-54E4-498A-BDA8-AAAB42F46218}"/>
            </a:ext>
          </a:extLst>
        </xdr:cNvPr>
        <xdr:cNvSpPr/>
      </xdr:nvSpPr>
      <xdr:spPr>
        <a:xfrm>
          <a:off x="7791450" y="63722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277" name="Shape 4">
          <a:extLst>
            <a:ext uri="{FF2B5EF4-FFF2-40B4-BE49-F238E27FC236}">
              <a16:creationId xmlns:a16="http://schemas.microsoft.com/office/drawing/2014/main" id="{0E2DBDC2-8FCE-4D1B-8BD8-6E2DDE22CF7B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278" name="Shape 4">
          <a:extLst>
            <a:ext uri="{FF2B5EF4-FFF2-40B4-BE49-F238E27FC236}">
              <a16:creationId xmlns:a16="http://schemas.microsoft.com/office/drawing/2014/main" id="{196FFD43-CA59-4B32-AF45-2F834340113C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279" name="Shape 7">
          <a:extLst>
            <a:ext uri="{FF2B5EF4-FFF2-40B4-BE49-F238E27FC236}">
              <a16:creationId xmlns:a16="http://schemas.microsoft.com/office/drawing/2014/main" id="{BCA519F3-4FB9-40ED-B95E-8A172B4E806B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280" name="Shape 7">
          <a:extLst>
            <a:ext uri="{FF2B5EF4-FFF2-40B4-BE49-F238E27FC236}">
              <a16:creationId xmlns:a16="http://schemas.microsoft.com/office/drawing/2014/main" id="{74D3BC1D-35E3-402B-9C6B-CDD87AA47343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281" name="Shape 4">
          <a:extLst>
            <a:ext uri="{FF2B5EF4-FFF2-40B4-BE49-F238E27FC236}">
              <a16:creationId xmlns:a16="http://schemas.microsoft.com/office/drawing/2014/main" id="{90056C1B-DA68-4966-94D5-D8B180474A39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24</xdr:row>
      <xdr:rowOff>0</xdr:rowOff>
    </xdr:from>
    <xdr:ext cx="38100" cy="9525"/>
    <xdr:sp macro="" textlink="">
      <xdr:nvSpPr>
        <xdr:cNvPr id="282" name="Shape 4">
          <a:extLst>
            <a:ext uri="{FF2B5EF4-FFF2-40B4-BE49-F238E27FC236}">
              <a16:creationId xmlns:a16="http://schemas.microsoft.com/office/drawing/2014/main" id="{F51D939A-E89D-4A2B-A80D-95F486933DDC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283" name="Shape 4">
          <a:extLst>
            <a:ext uri="{FF2B5EF4-FFF2-40B4-BE49-F238E27FC236}">
              <a16:creationId xmlns:a16="http://schemas.microsoft.com/office/drawing/2014/main" id="{E7D1DA2E-0632-4936-BFA0-EDB5E35BC492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284" name="Shape 4">
          <a:extLst>
            <a:ext uri="{FF2B5EF4-FFF2-40B4-BE49-F238E27FC236}">
              <a16:creationId xmlns:a16="http://schemas.microsoft.com/office/drawing/2014/main" id="{53E9DF93-442E-4CB4-8A8C-AAF917ABB701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285" name="Shape 7">
          <a:extLst>
            <a:ext uri="{FF2B5EF4-FFF2-40B4-BE49-F238E27FC236}">
              <a16:creationId xmlns:a16="http://schemas.microsoft.com/office/drawing/2014/main" id="{92C87631-F78C-4078-AB4E-EA1383A6755F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286" name="Shape 7">
          <a:extLst>
            <a:ext uri="{FF2B5EF4-FFF2-40B4-BE49-F238E27FC236}">
              <a16:creationId xmlns:a16="http://schemas.microsoft.com/office/drawing/2014/main" id="{5EEBF521-E30A-4E61-AE0D-34EA2FD77EF6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287" name="Shape 4">
          <a:extLst>
            <a:ext uri="{FF2B5EF4-FFF2-40B4-BE49-F238E27FC236}">
              <a16:creationId xmlns:a16="http://schemas.microsoft.com/office/drawing/2014/main" id="{C161D717-97DA-4E2F-B4D0-1A470780657E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46</xdr:row>
      <xdr:rowOff>0</xdr:rowOff>
    </xdr:from>
    <xdr:ext cx="38100" cy="9525"/>
    <xdr:sp macro="" textlink="">
      <xdr:nvSpPr>
        <xdr:cNvPr id="288" name="Shape 4">
          <a:extLst>
            <a:ext uri="{FF2B5EF4-FFF2-40B4-BE49-F238E27FC236}">
              <a16:creationId xmlns:a16="http://schemas.microsoft.com/office/drawing/2014/main" id="{CDA1A5E8-2204-403D-B23E-D284CE5EABDF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89" name="Shape 4">
          <a:extLst>
            <a:ext uri="{FF2B5EF4-FFF2-40B4-BE49-F238E27FC236}">
              <a16:creationId xmlns:a16="http://schemas.microsoft.com/office/drawing/2014/main" id="{92C020E1-309E-47FA-9626-DCF6060E8798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90" name="Shape 4">
          <a:extLst>
            <a:ext uri="{FF2B5EF4-FFF2-40B4-BE49-F238E27FC236}">
              <a16:creationId xmlns:a16="http://schemas.microsoft.com/office/drawing/2014/main" id="{A7FB1397-3DF4-498F-8D92-8E3FCB16741A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91" name="Shape 7">
          <a:extLst>
            <a:ext uri="{FF2B5EF4-FFF2-40B4-BE49-F238E27FC236}">
              <a16:creationId xmlns:a16="http://schemas.microsoft.com/office/drawing/2014/main" id="{8F80798F-2418-44EF-AB52-BE3EB389ED47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92" name="Shape 7">
          <a:extLst>
            <a:ext uri="{FF2B5EF4-FFF2-40B4-BE49-F238E27FC236}">
              <a16:creationId xmlns:a16="http://schemas.microsoft.com/office/drawing/2014/main" id="{44A372D4-26B9-412C-9E2B-9354C0EAFC3B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93" name="Shape 4">
          <a:extLst>
            <a:ext uri="{FF2B5EF4-FFF2-40B4-BE49-F238E27FC236}">
              <a16:creationId xmlns:a16="http://schemas.microsoft.com/office/drawing/2014/main" id="{4F949F04-ACAC-4202-AABD-FDAE3D7CF445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56</xdr:row>
      <xdr:rowOff>0</xdr:rowOff>
    </xdr:from>
    <xdr:ext cx="38100" cy="9525"/>
    <xdr:sp macro="" textlink="">
      <xdr:nvSpPr>
        <xdr:cNvPr id="294" name="Shape 4">
          <a:extLst>
            <a:ext uri="{FF2B5EF4-FFF2-40B4-BE49-F238E27FC236}">
              <a16:creationId xmlns:a16="http://schemas.microsoft.com/office/drawing/2014/main" id="{6BA2D1F0-1CEF-4E45-9099-7FF8CC67B372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295" name="Shape 5">
          <a:extLst>
            <a:ext uri="{FF2B5EF4-FFF2-40B4-BE49-F238E27FC236}">
              <a16:creationId xmlns:a16="http://schemas.microsoft.com/office/drawing/2014/main" id="{2A8E0C6E-8BD7-4918-9C8B-C402B4BE9D13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296" name="Shape 5">
          <a:extLst>
            <a:ext uri="{FF2B5EF4-FFF2-40B4-BE49-F238E27FC236}">
              <a16:creationId xmlns:a16="http://schemas.microsoft.com/office/drawing/2014/main" id="{CF94CC32-DB15-4EF6-953C-8532F6E18C08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297" name="Shape 5">
          <a:extLst>
            <a:ext uri="{FF2B5EF4-FFF2-40B4-BE49-F238E27FC236}">
              <a16:creationId xmlns:a16="http://schemas.microsoft.com/office/drawing/2014/main" id="{0F5A5717-DA0D-406E-8666-B545D7E40D3A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298" name="Shape 5">
          <a:extLst>
            <a:ext uri="{FF2B5EF4-FFF2-40B4-BE49-F238E27FC236}">
              <a16:creationId xmlns:a16="http://schemas.microsoft.com/office/drawing/2014/main" id="{51732270-CF86-4FA4-A28B-52F5EFA2E680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299" name="Shape 5">
          <a:extLst>
            <a:ext uri="{FF2B5EF4-FFF2-40B4-BE49-F238E27FC236}">
              <a16:creationId xmlns:a16="http://schemas.microsoft.com/office/drawing/2014/main" id="{2EDEA65C-FBB2-41C1-9414-D0F7B3F8C4F7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00" name="Shape 4">
          <a:extLst>
            <a:ext uri="{FF2B5EF4-FFF2-40B4-BE49-F238E27FC236}">
              <a16:creationId xmlns:a16="http://schemas.microsoft.com/office/drawing/2014/main" id="{217163EC-E0AC-42C1-8165-8FFBCA0CF0D2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01" name="Shape 5">
          <a:extLst>
            <a:ext uri="{FF2B5EF4-FFF2-40B4-BE49-F238E27FC236}">
              <a16:creationId xmlns:a16="http://schemas.microsoft.com/office/drawing/2014/main" id="{28BF8C0E-85A3-4FA0-8B9D-4E1D682AE0D7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02" name="Shape 4">
          <a:extLst>
            <a:ext uri="{FF2B5EF4-FFF2-40B4-BE49-F238E27FC236}">
              <a16:creationId xmlns:a16="http://schemas.microsoft.com/office/drawing/2014/main" id="{B6BA5578-367A-407B-9294-F3A9221094FE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03" name="Shape 6">
          <a:extLst>
            <a:ext uri="{FF2B5EF4-FFF2-40B4-BE49-F238E27FC236}">
              <a16:creationId xmlns:a16="http://schemas.microsoft.com/office/drawing/2014/main" id="{D3239DD8-3F2D-40E1-B5BD-E41FF5AFD95A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04" name="Shape 6">
          <a:extLst>
            <a:ext uri="{FF2B5EF4-FFF2-40B4-BE49-F238E27FC236}">
              <a16:creationId xmlns:a16="http://schemas.microsoft.com/office/drawing/2014/main" id="{A57FBEB4-9F67-4753-85DE-DA73B129D717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05" name="Shape 6">
          <a:extLst>
            <a:ext uri="{FF2B5EF4-FFF2-40B4-BE49-F238E27FC236}">
              <a16:creationId xmlns:a16="http://schemas.microsoft.com/office/drawing/2014/main" id="{752A2498-7010-4387-9E25-85C2C4FDCAE6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06" name="Shape 6">
          <a:extLst>
            <a:ext uri="{FF2B5EF4-FFF2-40B4-BE49-F238E27FC236}">
              <a16:creationId xmlns:a16="http://schemas.microsoft.com/office/drawing/2014/main" id="{5EBB5C5E-3A45-4766-844C-CD0589FE1724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07" name="Shape 6">
          <a:extLst>
            <a:ext uri="{FF2B5EF4-FFF2-40B4-BE49-F238E27FC236}">
              <a16:creationId xmlns:a16="http://schemas.microsoft.com/office/drawing/2014/main" id="{E5147232-00C8-4AA7-88CF-D37F35C012C1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08" name="Shape 6">
          <a:extLst>
            <a:ext uri="{FF2B5EF4-FFF2-40B4-BE49-F238E27FC236}">
              <a16:creationId xmlns:a16="http://schemas.microsoft.com/office/drawing/2014/main" id="{BE3DB906-C2E9-4597-BCC9-E56205D479C6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09" name="Shape 6">
          <a:extLst>
            <a:ext uri="{FF2B5EF4-FFF2-40B4-BE49-F238E27FC236}">
              <a16:creationId xmlns:a16="http://schemas.microsoft.com/office/drawing/2014/main" id="{2CF8F6A4-32B5-4F3B-8E4D-6601AD2A4E1D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0" name="Shape 6">
          <a:extLst>
            <a:ext uri="{FF2B5EF4-FFF2-40B4-BE49-F238E27FC236}">
              <a16:creationId xmlns:a16="http://schemas.microsoft.com/office/drawing/2014/main" id="{3D7E9556-097E-4ABC-93F8-0F08C3F5B039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1" name="Shape 6">
          <a:extLst>
            <a:ext uri="{FF2B5EF4-FFF2-40B4-BE49-F238E27FC236}">
              <a16:creationId xmlns:a16="http://schemas.microsoft.com/office/drawing/2014/main" id="{6D4B1EF6-4801-4D29-A6AB-A8F59EA7B71D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2" name="Shape 5">
          <a:extLst>
            <a:ext uri="{FF2B5EF4-FFF2-40B4-BE49-F238E27FC236}">
              <a16:creationId xmlns:a16="http://schemas.microsoft.com/office/drawing/2014/main" id="{46958EDE-2EEF-4470-B87C-A2F01207B440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3" name="Shape 5">
          <a:extLst>
            <a:ext uri="{FF2B5EF4-FFF2-40B4-BE49-F238E27FC236}">
              <a16:creationId xmlns:a16="http://schemas.microsoft.com/office/drawing/2014/main" id="{B2828AF2-2E3D-42BF-BAA0-C163D040E741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4" name="Shape 5">
          <a:extLst>
            <a:ext uri="{FF2B5EF4-FFF2-40B4-BE49-F238E27FC236}">
              <a16:creationId xmlns:a16="http://schemas.microsoft.com/office/drawing/2014/main" id="{993BE5BD-D8F7-482F-8872-8B84D7B1A197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5" name="Shape 5">
          <a:extLst>
            <a:ext uri="{FF2B5EF4-FFF2-40B4-BE49-F238E27FC236}">
              <a16:creationId xmlns:a16="http://schemas.microsoft.com/office/drawing/2014/main" id="{50009F70-66BD-45F3-8F33-39D38D667EDA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6" name="Shape 5">
          <a:extLst>
            <a:ext uri="{FF2B5EF4-FFF2-40B4-BE49-F238E27FC236}">
              <a16:creationId xmlns:a16="http://schemas.microsoft.com/office/drawing/2014/main" id="{A835C06C-8055-4E4C-BF52-07353DFC5F85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7" name="Shape 5">
          <a:extLst>
            <a:ext uri="{FF2B5EF4-FFF2-40B4-BE49-F238E27FC236}">
              <a16:creationId xmlns:a16="http://schemas.microsoft.com/office/drawing/2014/main" id="{27E61CCB-6186-48FE-A051-70AD30BC22F1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8" name="Shape 5">
          <a:extLst>
            <a:ext uri="{FF2B5EF4-FFF2-40B4-BE49-F238E27FC236}">
              <a16:creationId xmlns:a16="http://schemas.microsoft.com/office/drawing/2014/main" id="{B160BF14-06A9-4357-98CF-68E29630A019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19" name="Shape 5">
          <a:extLst>
            <a:ext uri="{FF2B5EF4-FFF2-40B4-BE49-F238E27FC236}">
              <a16:creationId xmlns:a16="http://schemas.microsoft.com/office/drawing/2014/main" id="{3DB028AC-3A80-416C-9E43-505A7C6C56BC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20" name="Shape 6">
          <a:extLst>
            <a:ext uri="{FF2B5EF4-FFF2-40B4-BE49-F238E27FC236}">
              <a16:creationId xmlns:a16="http://schemas.microsoft.com/office/drawing/2014/main" id="{4166611D-BD7D-43FF-825D-175289DEAFEB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21" name="Shape 6">
          <a:extLst>
            <a:ext uri="{FF2B5EF4-FFF2-40B4-BE49-F238E27FC236}">
              <a16:creationId xmlns:a16="http://schemas.microsoft.com/office/drawing/2014/main" id="{4D7AD37B-D06D-427C-9366-2D77E75875FF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22" name="Shape 6">
          <a:extLst>
            <a:ext uri="{FF2B5EF4-FFF2-40B4-BE49-F238E27FC236}">
              <a16:creationId xmlns:a16="http://schemas.microsoft.com/office/drawing/2014/main" id="{4F518BD0-473C-45B9-A1ED-84CAC6D49D8B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23" name="Shape 6">
          <a:extLst>
            <a:ext uri="{FF2B5EF4-FFF2-40B4-BE49-F238E27FC236}">
              <a16:creationId xmlns:a16="http://schemas.microsoft.com/office/drawing/2014/main" id="{1AA4BDBF-0709-4A97-9FE1-68C3B9BD46E8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24" name="Shape 6">
          <a:extLst>
            <a:ext uri="{FF2B5EF4-FFF2-40B4-BE49-F238E27FC236}">
              <a16:creationId xmlns:a16="http://schemas.microsoft.com/office/drawing/2014/main" id="{69C706F4-AEA8-4F53-ABB9-2832B679860C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25" name="Shape 7">
          <a:extLst>
            <a:ext uri="{FF2B5EF4-FFF2-40B4-BE49-F238E27FC236}">
              <a16:creationId xmlns:a16="http://schemas.microsoft.com/office/drawing/2014/main" id="{25356C21-CC15-4B70-A7AC-3515A56E2753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26" name="Shape 6">
          <a:extLst>
            <a:ext uri="{FF2B5EF4-FFF2-40B4-BE49-F238E27FC236}">
              <a16:creationId xmlns:a16="http://schemas.microsoft.com/office/drawing/2014/main" id="{92AC4240-F000-4016-8E9E-74FA5F0E042A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27" name="Shape 7">
          <a:extLst>
            <a:ext uri="{FF2B5EF4-FFF2-40B4-BE49-F238E27FC236}">
              <a16:creationId xmlns:a16="http://schemas.microsoft.com/office/drawing/2014/main" id="{E9735882-437B-413C-A363-9ED0B5376B64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28575" cy="9525"/>
    <xdr:sp macro="" textlink="">
      <xdr:nvSpPr>
        <xdr:cNvPr id="328" name="Shape 6">
          <a:extLst>
            <a:ext uri="{FF2B5EF4-FFF2-40B4-BE49-F238E27FC236}">
              <a16:creationId xmlns:a16="http://schemas.microsoft.com/office/drawing/2014/main" id="{495AA105-811A-4188-A55F-2AD1CF53682C}"/>
            </a:ext>
          </a:extLst>
        </xdr:cNvPr>
        <xdr:cNvSpPr/>
      </xdr:nvSpPr>
      <xdr:spPr>
        <a:xfrm>
          <a:off x="1514475" y="8010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29" name="Shape 6">
          <a:extLst>
            <a:ext uri="{FF2B5EF4-FFF2-40B4-BE49-F238E27FC236}">
              <a16:creationId xmlns:a16="http://schemas.microsoft.com/office/drawing/2014/main" id="{49B41E8D-C89A-488C-86A4-952E010A394C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30" name="Shape 6">
          <a:extLst>
            <a:ext uri="{FF2B5EF4-FFF2-40B4-BE49-F238E27FC236}">
              <a16:creationId xmlns:a16="http://schemas.microsoft.com/office/drawing/2014/main" id="{EB28470A-D9B8-4553-86BE-7B3047F71689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31" name="Shape 6">
          <a:extLst>
            <a:ext uri="{FF2B5EF4-FFF2-40B4-BE49-F238E27FC236}">
              <a16:creationId xmlns:a16="http://schemas.microsoft.com/office/drawing/2014/main" id="{3E431B82-E0E2-4ECF-8F23-0586D2AAAA6F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32" name="Shape 6">
          <a:extLst>
            <a:ext uri="{FF2B5EF4-FFF2-40B4-BE49-F238E27FC236}">
              <a16:creationId xmlns:a16="http://schemas.microsoft.com/office/drawing/2014/main" id="{4649FD3D-2035-4CEE-B200-29899157F44A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33" name="Shape 6">
          <a:extLst>
            <a:ext uri="{FF2B5EF4-FFF2-40B4-BE49-F238E27FC236}">
              <a16:creationId xmlns:a16="http://schemas.microsoft.com/office/drawing/2014/main" id="{A9077319-2F88-4AE6-BFF5-ED674F4CD14C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34" name="Shape 5">
          <a:extLst>
            <a:ext uri="{FF2B5EF4-FFF2-40B4-BE49-F238E27FC236}">
              <a16:creationId xmlns:a16="http://schemas.microsoft.com/office/drawing/2014/main" id="{3844C017-C146-486D-BF35-61882AB1BB81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35" name="Shape 5">
          <a:extLst>
            <a:ext uri="{FF2B5EF4-FFF2-40B4-BE49-F238E27FC236}">
              <a16:creationId xmlns:a16="http://schemas.microsoft.com/office/drawing/2014/main" id="{F102B102-049B-4CBE-9343-1623C7551F52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36" name="Shape 5">
          <a:extLst>
            <a:ext uri="{FF2B5EF4-FFF2-40B4-BE49-F238E27FC236}">
              <a16:creationId xmlns:a16="http://schemas.microsoft.com/office/drawing/2014/main" id="{507E3FA3-19D6-4567-8811-D8823F93BB9D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37" name="Shape 5">
          <a:extLst>
            <a:ext uri="{FF2B5EF4-FFF2-40B4-BE49-F238E27FC236}">
              <a16:creationId xmlns:a16="http://schemas.microsoft.com/office/drawing/2014/main" id="{7B4AD0DB-C5FD-494D-A1D9-77EA2C319F93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38" name="Shape 5">
          <a:extLst>
            <a:ext uri="{FF2B5EF4-FFF2-40B4-BE49-F238E27FC236}">
              <a16:creationId xmlns:a16="http://schemas.microsoft.com/office/drawing/2014/main" id="{A05EBB1C-FF23-4020-9EA3-1DADA06E56C7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39" name="Shape 4">
          <a:extLst>
            <a:ext uri="{FF2B5EF4-FFF2-40B4-BE49-F238E27FC236}">
              <a16:creationId xmlns:a16="http://schemas.microsoft.com/office/drawing/2014/main" id="{46506DDF-CB96-464D-A814-325C7870617D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40" name="Shape 5">
          <a:extLst>
            <a:ext uri="{FF2B5EF4-FFF2-40B4-BE49-F238E27FC236}">
              <a16:creationId xmlns:a16="http://schemas.microsoft.com/office/drawing/2014/main" id="{8999FAFB-8203-4317-9FBD-4849784152E9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41" name="Shape 4">
          <a:extLst>
            <a:ext uri="{FF2B5EF4-FFF2-40B4-BE49-F238E27FC236}">
              <a16:creationId xmlns:a16="http://schemas.microsoft.com/office/drawing/2014/main" id="{9BF4092B-ED4E-4EA3-A8F4-10D1238C2040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42" name="Shape 5">
          <a:extLst>
            <a:ext uri="{FF2B5EF4-FFF2-40B4-BE49-F238E27FC236}">
              <a16:creationId xmlns:a16="http://schemas.microsoft.com/office/drawing/2014/main" id="{B7CBD604-7D5A-4079-945D-8F0AE8E6D2EF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43" name="Shape 5">
          <a:extLst>
            <a:ext uri="{FF2B5EF4-FFF2-40B4-BE49-F238E27FC236}">
              <a16:creationId xmlns:a16="http://schemas.microsoft.com/office/drawing/2014/main" id="{363B61D2-BC25-4F14-A3D4-327D1EC39164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44" name="Shape 5">
          <a:extLst>
            <a:ext uri="{FF2B5EF4-FFF2-40B4-BE49-F238E27FC236}">
              <a16:creationId xmlns:a16="http://schemas.microsoft.com/office/drawing/2014/main" id="{76710173-B6FE-499A-8BC2-7F5C71788CB1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45" name="Shape 5">
          <a:extLst>
            <a:ext uri="{FF2B5EF4-FFF2-40B4-BE49-F238E27FC236}">
              <a16:creationId xmlns:a16="http://schemas.microsoft.com/office/drawing/2014/main" id="{1BA9B60D-EF96-406C-85F8-A25B742AA4DF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46" name="Shape 5">
          <a:extLst>
            <a:ext uri="{FF2B5EF4-FFF2-40B4-BE49-F238E27FC236}">
              <a16:creationId xmlns:a16="http://schemas.microsoft.com/office/drawing/2014/main" id="{0CAEE0C6-8D1F-4AF5-A1BD-81D97A0DC74A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47" name="Shape 5">
          <a:extLst>
            <a:ext uri="{FF2B5EF4-FFF2-40B4-BE49-F238E27FC236}">
              <a16:creationId xmlns:a16="http://schemas.microsoft.com/office/drawing/2014/main" id="{62A4F480-E283-45B2-83D0-913E6CDAF351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48" name="Shape 5">
          <a:extLst>
            <a:ext uri="{FF2B5EF4-FFF2-40B4-BE49-F238E27FC236}">
              <a16:creationId xmlns:a16="http://schemas.microsoft.com/office/drawing/2014/main" id="{47025AC3-2631-4660-8E4F-144498D31AEB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49" name="Shape 5">
          <a:extLst>
            <a:ext uri="{FF2B5EF4-FFF2-40B4-BE49-F238E27FC236}">
              <a16:creationId xmlns:a16="http://schemas.microsoft.com/office/drawing/2014/main" id="{7DAEC2F8-D1AF-49A8-B179-919CE9F7AE5D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50" name="Shape 5">
          <a:extLst>
            <a:ext uri="{FF2B5EF4-FFF2-40B4-BE49-F238E27FC236}">
              <a16:creationId xmlns:a16="http://schemas.microsoft.com/office/drawing/2014/main" id="{ACD44B70-D6DD-4203-B6A6-C30A59E60898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51" name="Shape 5">
          <a:extLst>
            <a:ext uri="{FF2B5EF4-FFF2-40B4-BE49-F238E27FC236}">
              <a16:creationId xmlns:a16="http://schemas.microsoft.com/office/drawing/2014/main" id="{7A2D42C6-F6C2-4DD8-9A52-41B9C1FA0F62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66</xdr:row>
      <xdr:rowOff>0</xdr:rowOff>
    </xdr:from>
    <xdr:ext cx="38100" cy="9525"/>
    <xdr:sp macro="" textlink="">
      <xdr:nvSpPr>
        <xdr:cNvPr id="352" name="Shape 5">
          <a:extLst>
            <a:ext uri="{FF2B5EF4-FFF2-40B4-BE49-F238E27FC236}">
              <a16:creationId xmlns:a16="http://schemas.microsoft.com/office/drawing/2014/main" id="{E40232EE-6C1F-4F5A-829A-D157588B16BB}"/>
            </a:ext>
          </a:extLst>
        </xdr:cNvPr>
        <xdr:cNvSpPr/>
      </xdr:nvSpPr>
      <xdr:spPr>
        <a:xfrm>
          <a:off x="1514475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67</xdr:row>
      <xdr:rowOff>0</xdr:rowOff>
    </xdr:from>
    <xdr:ext cx="38100" cy="9525"/>
    <xdr:sp macro="" textlink="">
      <xdr:nvSpPr>
        <xdr:cNvPr id="353" name="Shape 4">
          <a:extLst>
            <a:ext uri="{FF2B5EF4-FFF2-40B4-BE49-F238E27FC236}">
              <a16:creationId xmlns:a16="http://schemas.microsoft.com/office/drawing/2014/main" id="{D226742C-ED21-452E-9505-0250F9FBC189}"/>
            </a:ext>
          </a:extLst>
        </xdr:cNvPr>
        <xdr:cNvSpPr/>
      </xdr:nvSpPr>
      <xdr:spPr>
        <a:xfrm>
          <a:off x="7791450" y="82010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67</xdr:row>
      <xdr:rowOff>0</xdr:rowOff>
    </xdr:from>
    <xdr:ext cx="38100" cy="9525"/>
    <xdr:sp macro="" textlink="">
      <xdr:nvSpPr>
        <xdr:cNvPr id="354" name="Shape 4">
          <a:extLst>
            <a:ext uri="{FF2B5EF4-FFF2-40B4-BE49-F238E27FC236}">
              <a16:creationId xmlns:a16="http://schemas.microsoft.com/office/drawing/2014/main" id="{D6C6E984-7643-48AB-B230-CA32E7EA9D63}"/>
            </a:ext>
          </a:extLst>
        </xdr:cNvPr>
        <xdr:cNvSpPr/>
      </xdr:nvSpPr>
      <xdr:spPr>
        <a:xfrm>
          <a:off x="7791450" y="82010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67</xdr:row>
      <xdr:rowOff>0</xdr:rowOff>
    </xdr:from>
    <xdr:ext cx="38100" cy="9525"/>
    <xdr:sp macro="" textlink="">
      <xdr:nvSpPr>
        <xdr:cNvPr id="355" name="Shape 7">
          <a:extLst>
            <a:ext uri="{FF2B5EF4-FFF2-40B4-BE49-F238E27FC236}">
              <a16:creationId xmlns:a16="http://schemas.microsoft.com/office/drawing/2014/main" id="{46756607-2C12-4079-8D4B-D6778CCB4EEA}"/>
            </a:ext>
          </a:extLst>
        </xdr:cNvPr>
        <xdr:cNvSpPr/>
      </xdr:nvSpPr>
      <xdr:spPr>
        <a:xfrm>
          <a:off x="7791450" y="82010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67</xdr:row>
      <xdr:rowOff>0</xdr:rowOff>
    </xdr:from>
    <xdr:ext cx="38100" cy="9525"/>
    <xdr:sp macro="" textlink="">
      <xdr:nvSpPr>
        <xdr:cNvPr id="356" name="Shape 7">
          <a:extLst>
            <a:ext uri="{FF2B5EF4-FFF2-40B4-BE49-F238E27FC236}">
              <a16:creationId xmlns:a16="http://schemas.microsoft.com/office/drawing/2014/main" id="{2948E170-B9A6-4F37-AACC-D192822BCB6C}"/>
            </a:ext>
          </a:extLst>
        </xdr:cNvPr>
        <xdr:cNvSpPr/>
      </xdr:nvSpPr>
      <xdr:spPr>
        <a:xfrm>
          <a:off x="7791450" y="82010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67</xdr:row>
      <xdr:rowOff>0</xdr:rowOff>
    </xdr:from>
    <xdr:ext cx="38100" cy="9525"/>
    <xdr:sp macro="" textlink="">
      <xdr:nvSpPr>
        <xdr:cNvPr id="357" name="Shape 4">
          <a:extLst>
            <a:ext uri="{FF2B5EF4-FFF2-40B4-BE49-F238E27FC236}">
              <a16:creationId xmlns:a16="http://schemas.microsoft.com/office/drawing/2014/main" id="{3077B1EC-948D-4E3B-83AB-4014D2C38F95}"/>
            </a:ext>
          </a:extLst>
        </xdr:cNvPr>
        <xdr:cNvSpPr/>
      </xdr:nvSpPr>
      <xdr:spPr>
        <a:xfrm>
          <a:off x="7791450" y="82010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67</xdr:row>
      <xdr:rowOff>0</xdr:rowOff>
    </xdr:from>
    <xdr:ext cx="38100" cy="9525"/>
    <xdr:sp macro="" textlink="">
      <xdr:nvSpPr>
        <xdr:cNvPr id="358" name="Shape 4">
          <a:extLst>
            <a:ext uri="{FF2B5EF4-FFF2-40B4-BE49-F238E27FC236}">
              <a16:creationId xmlns:a16="http://schemas.microsoft.com/office/drawing/2014/main" id="{8630AF4E-08FA-4AFA-AEA4-922A8FCA8F60}"/>
            </a:ext>
          </a:extLst>
        </xdr:cNvPr>
        <xdr:cNvSpPr/>
      </xdr:nvSpPr>
      <xdr:spPr>
        <a:xfrm>
          <a:off x="7791450" y="82010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59" name="Shape 4">
          <a:extLst>
            <a:ext uri="{FF2B5EF4-FFF2-40B4-BE49-F238E27FC236}">
              <a16:creationId xmlns:a16="http://schemas.microsoft.com/office/drawing/2014/main" id="{B97CAD4A-1803-4219-A96D-A4457CE719B3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60" name="Shape 4">
          <a:extLst>
            <a:ext uri="{FF2B5EF4-FFF2-40B4-BE49-F238E27FC236}">
              <a16:creationId xmlns:a16="http://schemas.microsoft.com/office/drawing/2014/main" id="{35BC8AA6-F18A-44A7-8A56-0B28FA068B14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61" name="Shape 7">
          <a:extLst>
            <a:ext uri="{FF2B5EF4-FFF2-40B4-BE49-F238E27FC236}">
              <a16:creationId xmlns:a16="http://schemas.microsoft.com/office/drawing/2014/main" id="{E1A60B01-905A-4A62-A74E-E7B70F2A4E8F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62" name="Shape 7">
          <a:extLst>
            <a:ext uri="{FF2B5EF4-FFF2-40B4-BE49-F238E27FC236}">
              <a16:creationId xmlns:a16="http://schemas.microsoft.com/office/drawing/2014/main" id="{D1F446DB-4529-4CAE-AFFA-2C2CFCC4C8EE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63" name="Shape 4">
          <a:extLst>
            <a:ext uri="{FF2B5EF4-FFF2-40B4-BE49-F238E27FC236}">
              <a16:creationId xmlns:a16="http://schemas.microsoft.com/office/drawing/2014/main" id="{94F7F9DE-7398-4828-B583-4209DDA281B8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66</xdr:row>
      <xdr:rowOff>0</xdr:rowOff>
    </xdr:from>
    <xdr:ext cx="38100" cy="9525"/>
    <xdr:sp macro="" textlink="">
      <xdr:nvSpPr>
        <xdr:cNvPr id="364" name="Shape 4">
          <a:extLst>
            <a:ext uri="{FF2B5EF4-FFF2-40B4-BE49-F238E27FC236}">
              <a16:creationId xmlns:a16="http://schemas.microsoft.com/office/drawing/2014/main" id="{BF545EE5-D642-4E75-BF68-E79AFB9A91DE}"/>
            </a:ext>
          </a:extLst>
        </xdr:cNvPr>
        <xdr:cNvSpPr/>
      </xdr:nvSpPr>
      <xdr:spPr>
        <a:xfrm>
          <a:off x="7791450" y="8010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65" name="Shape 5">
          <a:extLst>
            <a:ext uri="{FF2B5EF4-FFF2-40B4-BE49-F238E27FC236}">
              <a16:creationId xmlns:a16="http://schemas.microsoft.com/office/drawing/2014/main" id="{964E7DD6-93D1-476A-A47D-C3669AA7F057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66" name="Shape 5">
          <a:extLst>
            <a:ext uri="{FF2B5EF4-FFF2-40B4-BE49-F238E27FC236}">
              <a16:creationId xmlns:a16="http://schemas.microsoft.com/office/drawing/2014/main" id="{B29F4E93-BF2F-43BC-BAF5-2FF41293FB61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67" name="Shape 5">
          <a:extLst>
            <a:ext uri="{FF2B5EF4-FFF2-40B4-BE49-F238E27FC236}">
              <a16:creationId xmlns:a16="http://schemas.microsoft.com/office/drawing/2014/main" id="{68669803-B857-4167-8A57-D71EC8484938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68" name="Shape 5">
          <a:extLst>
            <a:ext uri="{FF2B5EF4-FFF2-40B4-BE49-F238E27FC236}">
              <a16:creationId xmlns:a16="http://schemas.microsoft.com/office/drawing/2014/main" id="{0CA62E92-44D7-4F4C-AF28-25665EA7FADC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69" name="Shape 5">
          <a:extLst>
            <a:ext uri="{FF2B5EF4-FFF2-40B4-BE49-F238E27FC236}">
              <a16:creationId xmlns:a16="http://schemas.microsoft.com/office/drawing/2014/main" id="{44E2D4FD-99BC-4747-A042-223988CFD84F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370" name="Shape 4">
          <a:extLst>
            <a:ext uri="{FF2B5EF4-FFF2-40B4-BE49-F238E27FC236}">
              <a16:creationId xmlns:a16="http://schemas.microsoft.com/office/drawing/2014/main" id="{3B520C5D-4438-491B-A741-0827689A9B2D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71" name="Shape 5">
          <a:extLst>
            <a:ext uri="{FF2B5EF4-FFF2-40B4-BE49-F238E27FC236}">
              <a16:creationId xmlns:a16="http://schemas.microsoft.com/office/drawing/2014/main" id="{76339B9C-A980-41B6-BC91-E652D54AB73E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372" name="Shape 4">
          <a:extLst>
            <a:ext uri="{FF2B5EF4-FFF2-40B4-BE49-F238E27FC236}">
              <a16:creationId xmlns:a16="http://schemas.microsoft.com/office/drawing/2014/main" id="{870ED04D-CB95-4F7B-9750-4C3AF6B43CC9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73" name="Shape 6">
          <a:extLst>
            <a:ext uri="{FF2B5EF4-FFF2-40B4-BE49-F238E27FC236}">
              <a16:creationId xmlns:a16="http://schemas.microsoft.com/office/drawing/2014/main" id="{7294956A-BF63-4A48-A450-5D0E061356D9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74" name="Shape 6">
          <a:extLst>
            <a:ext uri="{FF2B5EF4-FFF2-40B4-BE49-F238E27FC236}">
              <a16:creationId xmlns:a16="http://schemas.microsoft.com/office/drawing/2014/main" id="{9D55145F-CA28-43F7-8C7F-B38FC02419F9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75" name="Shape 6">
          <a:extLst>
            <a:ext uri="{FF2B5EF4-FFF2-40B4-BE49-F238E27FC236}">
              <a16:creationId xmlns:a16="http://schemas.microsoft.com/office/drawing/2014/main" id="{6313424F-CC87-44DF-AD55-59C503CA607D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76" name="Shape 6">
          <a:extLst>
            <a:ext uri="{FF2B5EF4-FFF2-40B4-BE49-F238E27FC236}">
              <a16:creationId xmlns:a16="http://schemas.microsoft.com/office/drawing/2014/main" id="{33DE764B-E6AA-4B84-9BB0-86A58DF1D740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77" name="Shape 6">
          <a:extLst>
            <a:ext uri="{FF2B5EF4-FFF2-40B4-BE49-F238E27FC236}">
              <a16:creationId xmlns:a16="http://schemas.microsoft.com/office/drawing/2014/main" id="{A7A4A96D-F4BC-478E-ABB2-09AC4A1E8622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78" name="Shape 6">
          <a:extLst>
            <a:ext uri="{FF2B5EF4-FFF2-40B4-BE49-F238E27FC236}">
              <a16:creationId xmlns:a16="http://schemas.microsoft.com/office/drawing/2014/main" id="{D545A2BC-D77B-424D-9357-FE80F4A07F07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79" name="Shape 6">
          <a:extLst>
            <a:ext uri="{FF2B5EF4-FFF2-40B4-BE49-F238E27FC236}">
              <a16:creationId xmlns:a16="http://schemas.microsoft.com/office/drawing/2014/main" id="{A0BD0CEC-B71D-4288-8679-DD3B76A153F4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0" name="Shape 6">
          <a:extLst>
            <a:ext uri="{FF2B5EF4-FFF2-40B4-BE49-F238E27FC236}">
              <a16:creationId xmlns:a16="http://schemas.microsoft.com/office/drawing/2014/main" id="{D816C468-A435-43D8-905E-96066D8D9C57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1" name="Shape 6">
          <a:extLst>
            <a:ext uri="{FF2B5EF4-FFF2-40B4-BE49-F238E27FC236}">
              <a16:creationId xmlns:a16="http://schemas.microsoft.com/office/drawing/2014/main" id="{313A9F4B-1BF4-471E-AA59-850DB2673C4E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2" name="Shape 5">
          <a:extLst>
            <a:ext uri="{FF2B5EF4-FFF2-40B4-BE49-F238E27FC236}">
              <a16:creationId xmlns:a16="http://schemas.microsoft.com/office/drawing/2014/main" id="{85C73522-2799-456C-A093-BDFC4BD93641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3" name="Shape 5">
          <a:extLst>
            <a:ext uri="{FF2B5EF4-FFF2-40B4-BE49-F238E27FC236}">
              <a16:creationId xmlns:a16="http://schemas.microsoft.com/office/drawing/2014/main" id="{A147EC3C-6156-447E-AA09-4B414A704CE8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4" name="Shape 5">
          <a:extLst>
            <a:ext uri="{FF2B5EF4-FFF2-40B4-BE49-F238E27FC236}">
              <a16:creationId xmlns:a16="http://schemas.microsoft.com/office/drawing/2014/main" id="{FC624A58-02F0-477A-A220-0D5D78E0FEE3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5" name="Shape 5">
          <a:extLst>
            <a:ext uri="{FF2B5EF4-FFF2-40B4-BE49-F238E27FC236}">
              <a16:creationId xmlns:a16="http://schemas.microsoft.com/office/drawing/2014/main" id="{DBEAC2E2-FA62-4EA3-A194-61085E1BFED7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6" name="Shape 5">
          <a:extLst>
            <a:ext uri="{FF2B5EF4-FFF2-40B4-BE49-F238E27FC236}">
              <a16:creationId xmlns:a16="http://schemas.microsoft.com/office/drawing/2014/main" id="{BAB2D5E7-25AA-4740-8824-03C96E6A0706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7" name="Shape 5">
          <a:extLst>
            <a:ext uri="{FF2B5EF4-FFF2-40B4-BE49-F238E27FC236}">
              <a16:creationId xmlns:a16="http://schemas.microsoft.com/office/drawing/2014/main" id="{80AC289C-5BAD-405E-B23B-48862DD3DA40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8" name="Shape 5">
          <a:extLst>
            <a:ext uri="{FF2B5EF4-FFF2-40B4-BE49-F238E27FC236}">
              <a16:creationId xmlns:a16="http://schemas.microsoft.com/office/drawing/2014/main" id="{A8AFA634-9F4D-490D-ACF4-5876D4CC03CB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89" name="Shape 5">
          <a:extLst>
            <a:ext uri="{FF2B5EF4-FFF2-40B4-BE49-F238E27FC236}">
              <a16:creationId xmlns:a16="http://schemas.microsoft.com/office/drawing/2014/main" id="{C923C6BF-90E1-492B-B64F-19291800B31B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90" name="Shape 6">
          <a:extLst>
            <a:ext uri="{FF2B5EF4-FFF2-40B4-BE49-F238E27FC236}">
              <a16:creationId xmlns:a16="http://schemas.microsoft.com/office/drawing/2014/main" id="{BDEE536B-9B8B-40DE-85C3-2C92F0282372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91" name="Shape 6">
          <a:extLst>
            <a:ext uri="{FF2B5EF4-FFF2-40B4-BE49-F238E27FC236}">
              <a16:creationId xmlns:a16="http://schemas.microsoft.com/office/drawing/2014/main" id="{CC0A1D7B-8A2B-4986-96E7-1CFB6860F0AE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92" name="Shape 6">
          <a:extLst>
            <a:ext uri="{FF2B5EF4-FFF2-40B4-BE49-F238E27FC236}">
              <a16:creationId xmlns:a16="http://schemas.microsoft.com/office/drawing/2014/main" id="{1F05DDA8-3025-4AA8-8564-F1857995C7A2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93" name="Shape 6">
          <a:extLst>
            <a:ext uri="{FF2B5EF4-FFF2-40B4-BE49-F238E27FC236}">
              <a16:creationId xmlns:a16="http://schemas.microsoft.com/office/drawing/2014/main" id="{4A3D7B6E-33FF-4A2A-AC98-7D97E49B7AED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94" name="Shape 6">
          <a:extLst>
            <a:ext uri="{FF2B5EF4-FFF2-40B4-BE49-F238E27FC236}">
              <a16:creationId xmlns:a16="http://schemas.microsoft.com/office/drawing/2014/main" id="{22E124D5-DC10-4FF5-9E45-A6F0784884C9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395" name="Shape 7">
          <a:extLst>
            <a:ext uri="{FF2B5EF4-FFF2-40B4-BE49-F238E27FC236}">
              <a16:creationId xmlns:a16="http://schemas.microsoft.com/office/drawing/2014/main" id="{0933DA15-80F0-45A1-813F-8A8717D098E2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96" name="Shape 6">
          <a:extLst>
            <a:ext uri="{FF2B5EF4-FFF2-40B4-BE49-F238E27FC236}">
              <a16:creationId xmlns:a16="http://schemas.microsoft.com/office/drawing/2014/main" id="{33B91132-9023-41FB-83AC-FB42AF0705CF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397" name="Shape 7">
          <a:extLst>
            <a:ext uri="{FF2B5EF4-FFF2-40B4-BE49-F238E27FC236}">
              <a16:creationId xmlns:a16="http://schemas.microsoft.com/office/drawing/2014/main" id="{F7812DC9-D6BE-4254-A18A-F7E82E4B4B76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28575" cy="9525"/>
    <xdr:sp macro="" textlink="">
      <xdr:nvSpPr>
        <xdr:cNvPr id="398" name="Shape 6">
          <a:extLst>
            <a:ext uri="{FF2B5EF4-FFF2-40B4-BE49-F238E27FC236}">
              <a16:creationId xmlns:a16="http://schemas.microsoft.com/office/drawing/2014/main" id="{63099E59-E3CB-43C9-99BF-334A321A2A11}"/>
            </a:ext>
          </a:extLst>
        </xdr:cNvPr>
        <xdr:cNvSpPr/>
      </xdr:nvSpPr>
      <xdr:spPr>
        <a:xfrm>
          <a:off x="1514475" y="43529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399" name="Shape 6">
          <a:extLst>
            <a:ext uri="{FF2B5EF4-FFF2-40B4-BE49-F238E27FC236}">
              <a16:creationId xmlns:a16="http://schemas.microsoft.com/office/drawing/2014/main" id="{532883D1-CEE8-4C2A-8D85-9E4BA6A980AF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00" name="Shape 6">
          <a:extLst>
            <a:ext uri="{FF2B5EF4-FFF2-40B4-BE49-F238E27FC236}">
              <a16:creationId xmlns:a16="http://schemas.microsoft.com/office/drawing/2014/main" id="{14713AF0-0A26-4821-8760-86D4DAF26CDB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01" name="Shape 6">
          <a:extLst>
            <a:ext uri="{FF2B5EF4-FFF2-40B4-BE49-F238E27FC236}">
              <a16:creationId xmlns:a16="http://schemas.microsoft.com/office/drawing/2014/main" id="{F983DB2C-B92B-4BA9-86D1-D3DD7EFF2A69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02" name="Shape 6">
          <a:extLst>
            <a:ext uri="{FF2B5EF4-FFF2-40B4-BE49-F238E27FC236}">
              <a16:creationId xmlns:a16="http://schemas.microsoft.com/office/drawing/2014/main" id="{2F190440-FE38-4387-8477-E9659F8CAA3C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03" name="Shape 6">
          <a:extLst>
            <a:ext uri="{FF2B5EF4-FFF2-40B4-BE49-F238E27FC236}">
              <a16:creationId xmlns:a16="http://schemas.microsoft.com/office/drawing/2014/main" id="{133512BD-EEE9-4FC9-BDD8-57273D72F502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04" name="Shape 5">
          <a:extLst>
            <a:ext uri="{FF2B5EF4-FFF2-40B4-BE49-F238E27FC236}">
              <a16:creationId xmlns:a16="http://schemas.microsoft.com/office/drawing/2014/main" id="{50843D95-8A03-489E-8B8D-216FDE085B01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05" name="Shape 5">
          <a:extLst>
            <a:ext uri="{FF2B5EF4-FFF2-40B4-BE49-F238E27FC236}">
              <a16:creationId xmlns:a16="http://schemas.microsoft.com/office/drawing/2014/main" id="{DCD4FF19-ED8C-4298-B76A-08CEA60DF568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06" name="Shape 5">
          <a:extLst>
            <a:ext uri="{FF2B5EF4-FFF2-40B4-BE49-F238E27FC236}">
              <a16:creationId xmlns:a16="http://schemas.microsoft.com/office/drawing/2014/main" id="{FC5A3498-E65E-4033-BECA-5DB75106BF24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07" name="Shape 5">
          <a:extLst>
            <a:ext uri="{FF2B5EF4-FFF2-40B4-BE49-F238E27FC236}">
              <a16:creationId xmlns:a16="http://schemas.microsoft.com/office/drawing/2014/main" id="{806A0395-7775-4368-8DE3-BF1AF5A5B818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08" name="Shape 5">
          <a:extLst>
            <a:ext uri="{FF2B5EF4-FFF2-40B4-BE49-F238E27FC236}">
              <a16:creationId xmlns:a16="http://schemas.microsoft.com/office/drawing/2014/main" id="{429D716E-DE87-4767-AD3C-E57B7E3460D9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409" name="Shape 4">
          <a:extLst>
            <a:ext uri="{FF2B5EF4-FFF2-40B4-BE49-F238E27FC236}">
              <a16:creationId xmlns:a16="http://schemas.microsoft.com/office/drawing/2014/main" id="{7765D088-BE23-4B2A-BEC4-8FD3ABED4C5E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10" name="Shape 5">
          <a:extLst>
            <a:ext uri="{FF2B5EF4-FFF2-40B4-BE49-F238E27FC236}">
              <a16:creationId xmlns:a16="http://schemas.microsoft.com/office/drawing/2014/main" id="{C52E4E2F-3C90-4BFE-AAE5-8BA0E761A6D5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411" name="Shape 4">
          <a:extLst>
            <a:ext uri="{FF2B5EF4-FFF2-40B4-BE49-F238E27FC236}">
              <a16:creationId xmlns:a16="http://schemas.microsoft.com/office/drawing/2014/main" id="{1A40DE6E-9AC0-4FF5-8E00-D9284E1E1DC4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12" name="Shape 5">
          <a:extLst>
            <a:ext uri="{FF2B5EF4-FFF2-40B4-BE49-F238E27FC236}">
              <a16:creationId xmlns:a16="http://schemas.microsoft.com/office/drawing/2014/main" id="{B404FE02-8172-4CEE-AC84-310FA7352D0E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13" name="Shape 5">
          <a:extLst>
            <a:ext uri="{FF2B5EF4-FFF2-40B4-BE49-F238E27FC236}">
              <a16:creationId xmlns:a16="http://schemas.microsoft.com/office/drawing/2014/main" id="{02681CCF-609B-4AFA-B760-11B976FFD5B9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14" name="Shape 5">
          <a:extLst>
            <a:ext uri="{FF2B5EF4-FFF2-40B4-BE49-F238E27FC236}">
              <a16:creationId xmlns:a16="http://schemas.microsoft.com/office/drawing/2014/main" id="{83A00F5D-8406-4DCC-BB6B-CBDD74AD6C42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15" name="Shape 5">
          <a:extLst>
            <a:ext uri="{FF2B5EF4-FFF2-40B4-BE49-F238E27FC236}">
              <a16:creationId xmlns:a16="http://schemas.microsoft.com/office/drawing/2014/main" id="{28EB9CE8-642C-47E6-B9E3-0B5A5601C644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16" name="Shape 5">
          <a:extLst>
            <a:ext uri="{FF2B5EF4-FFF2-40B4-BE49-F238E27FC236}">
              <a16:creationId xmlns:a16="http://schemas.microsoft.com/office/drawing/2014/main" id="{293D695C-F285-4D7A-848D-F565F83B25DF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17" name="Shape 5">
          <a:extLst>
            <a:ext uri="{FF2B5EF4-FFF2-40B4-BE49-F238E27FC236}">
              <a16:creationId xmlns:a16="http://schemas.microsoft.com/office/drawing/2014/main" id="{EDD7CA15-44B0-4CF5-B0B5-D76EDD717126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18" name="Shape 5">
          <a:extLst>
            <a:ext uri="{FF2B5EF4-FFF2-40B4-BE49-F238E27FC236}">
              <a16:creationId xmlns:a16="http://schemas.microsoft.com/office/drawing/2014/main" id="{836DFA91-80F9-4B13-9BC6-86B94BF9FFC8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19" name="Shape 5">
          <a:extLst>
            <a:ext uri="{FF2B5EF4-FFF2-40B4-BE49-F238E27FC236}">
              <a16:creationId xmlns:a16="http://schemas.microsoft.com/office/drawing/2014/main" id="{DAE0C396-0AD2-4F52-B64C-3C23B2FBADDF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20" name="Shape 5">
          <a:extLst>
            <a:ext uri="{FF2B5EF4-FFF2-40B4-BE49-F238E27FC236}">
              <a16:creationId xmlns:a16="http://schemas.microsoft.com/office/drawing/2014/main" id="{A59B5FB0-3E4A-431A-8395-9221CD872239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21" name="Shape 5">
          <a:extLst>
            <a:ext uri="{FF2B5EF4-FFF2-40B4-BE49-F238E27FC236}">
              <a16:creationId xmlns:a16="http://schemas.microsoft.com/office/drawing/2014/main" id="{D4AAE0E0-77B5-4558-9287-783920956969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34</xdr:row>
      <xdr:rowOff>0</xdr:rowOff>
    </xdr:from>
    <xdr:ext cx="38100" cy="9525"/>
    <xdr:sp macro="" textlink="">
      <xdr:nvSpPr>
        <xdr:cNvPr id="422" name="Shape 5">
          <a:extLst>
            <a:ext uri="{FF2B5EF4-FFF2-40B4-BE49-F238E27FC236}">
              <a16:creationId xmlns:a16="http://schemas.microsoft.com/office/drawing/2014/main" id="{9F43C64E-EE27-49D0-87A4-8BC9477461B5}"/>
            </a:ext>
          </a:extLst>
        </xdr:cNvPr>
        <xdr:cNvSpPr/>
      </xdr:nvSpPr>
      <xdr:spPr>
        <a:xfrm>
          <a:off x="1514475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423" name="Shape 4">
          <a:extLst>
            <a:ext uri="{FF2B5EF4-FFF2-40B4-BE49-F238E27FC236}">
              <a16:creationId xmlns:a16="http://schemas.microsoft.com/office/drawing/2014/main" id="{C8171078-831D-4C4F-B17E-F25645CDB818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424" name="Shape 4">
          <a:extLst>
            <a:ext uri="{FF2B5EF4-FFF2-40B4-BE49-F238E27FC236}">
              <a16:creationId xmlns:a16="http://schemas.microsoft.com/office/drawing/2014/main" id="{0E95A5A0-B3FE-451F-A8FB-BB00ADFF89A5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425" name="Shape 7">
          <a:extLst>
            <a:ext uri="{FF2B5EF4-FFF2-40B4-BE49-F238E27FC236}">
              <a16:creationId xmlns:a16="http://schemas.microsoft.com/office/drawing/2014/main" id="{9A6672A4-D0C9-48A6-9772-2FF0DCFB79DE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426" name="Shape 7">
          <a:extLst>
            <a:ext uri="{FF2B5EF4-FFF2-40B4-BE49-F238E27FC236}">
              <a16:creationId xmlns:a16="http://schemas.microsoft.com/office/drawing/2014/main" id="{B14EF271-6481-4931-9258-C8E5853424A4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427" name="Shape 4">
          <a:extLst>
            <a:ext uri="{FF2B5EF4-FFF2-40B4-BE49-F238E27FC236}">
              <a16:creationId xmlns:a16="http://schemas.microsoft.com/office/drawing/2014/main" id="{566FF072-7F40-4621-8977-60A537A9709A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428" name="Shape 4">
          <a:extLst>
            <a:ext uri="{FF2B5EF4-FFF2-40B4-BE49-F238E27FC236}">
              <a16:creationId xmlns:a16="http://schemas.microsoft.com/office/drawing/2014/main" id="{C7390735-FC66-4235-8981-3BD4E38B7B9F}"/>
            </a:ext>
          </a:extLst>
        </xdr:cNvPr>
        <xdr:cNvSpPr/>
      </xdr:nvSpPr>
      <xdr:spPr>
        <a:xfrm>
          <a:off x="7791450" y="4543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429" name="Shape 4">
          <a:extLst>
            <a:ext uri="{FF2B5EF4-FFF2-40B4-BE49-F238E27FC236}">
              <a16:creationId xmlns:a16="http://schemas.microsoft.com/office/drawing/2014/main" id="{81C384B3-6E48-40D3-83C5-2A2B84CFE8C2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430" name="Shape 4">
          <a:extLst>
            <a:ext uri="{FF2B5EF4-FFF2-40B4-BE49-F238E27FC236}">
              <a16:creationId xmlns:a16="http://schemas.microsoft.com/office/drawing/2014/main" id="{0F6347EE-6834-48ED-802C-0CC0F4282BF6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431" name="Shape 7">
          <a:extLst>
            <a:ext uri="{FF2B5EF4-FFF2-40B4-BE49-F238E27FC236}">
              <a16:creationId xmlns:a16="http://schemas.microsoft.com/office/drawing/2014/main" id="{66262BA9-16C9-44D3-BECD-29860ED3E912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432" name="Shape 7">
          <a:extLst>
            <a:ext uri="{FF2B5EF4-FFF2-40B4-BE49-F238E27FC236}">
              <a16:creationId xmlns:a16="http://schemas.microsoft.com/office/drawing/2014/main" id="{81DCF4D2-04EF-4524-A71A-FE1B854E19C9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433" name="Shape 4">
          <a:extLst>
            <a:ext uri="{FF2B5EF4-FFF2-40B4-BE49-F238E27FC236}">
              <a16:creationId xmlns:a16="http://schemas.microsoft.com/office/drawing/2014/main" id="{E55859B9-9B90-42FE-844D-981744A7BEFF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34</xdr:row>
      <xdr:rowOff>0</xdr:rowOff>
    </xdr:from>
    <xdr:ext cx="38100" cy="9525"/>
    <xdr:sp macro="" textlink="">
      <xdr:nvSpPr>
        <xdr:cNvPr id="434" name="Shape 4">
          <a:extLst>
            <a:ext uri="{FF2B5EF4-FFF2-40B4-BE49-F238E27FC236}">
              <a16:creationId xmlns:a16="http://schemas.microsoft.com/office/drawing/2014/main" id="{7701E771-CB90-4786-B6C3-9E6EED4FF043}"/>
            </a:ext>
          </a:extLst>
        </xdr:cNvPr>
        <xdr:cNvSpPr/>
      </xdr:nvSpPr>
      <xdr:spPr>
        <a:xfrm>
          <a:off x="7791450" y="43529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35" name="Shape 5">
          <a:extLst>
            <a:ext uri="{FF2B5EF4-FFF2-40B4-BE49-F238E27FC236}">
              <a16:creationId xmlns:a16="http://schemas.microsoft.com/office/drawing/2014/main" id="{122D4BC3-B19B-467A-8A6A-D63D04E6A3C7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36" name="Shape 5">
          <a:extLst>
            <a:ext uri="{FF2B5EF4-FFF2-40B4-BE49-F238E27FC236}">
              <a16:creationId xmlns:a16="http://schemas.microsoft.com/office/drawing/2014/main" id="{D7DCF28A-E3DB-421A-8C68-A2B41FC4536A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37" name="Shape 5">
          <a:extLst>
            <a:ext uri="{FF2B5EF4-FFF2-40B4-BE49-F238E27FC236}">
              <a16:creationId xmlns:a16="http://schemas.microsoft.com/office/drawing/2014/main" id="{140E052F-C348-4252-9463-DF175A30BF7D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38" name="Shape 5">
          <a:extLst>
            <a:ext uri="{FF2B5EF4-FFF2-40B4-BE49-F238E27FC236}">
              <a16:creationId xmlns:a16="http://schemas.microsoft.com/office/drawing/2014/main" id="{68CBBA9F-CBA1-49F1-9042-D544FC5790D3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39" name="Shape 5">
          <a:extLst>
            <a:ext uri="{FF2B5EF4-FFF2-40B4-BE49-F238E27FC236}">
              <a16:creationId xmlns:a16="http://schemas.microsoft.com/office/drawing/2014/main" id="{7B743B54-7D5F-43EA-9CA5-4161A42391FC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</xdr:row>
      <xdr:rowOff>0</xdr:rowOff>
    </xdr:from>
    <xdr:ext cx="38100" cy="9525"/>
    <xdr:sp macro="" textlink="">
      <xdr:nvSpPr>
        <xdr:cNvPr id="440" name="Shape 4">
          <a:extLst>
            <a:ext uri="{FF2B5EF4-FFF2-40B4-BE49-F238E27FC236}">
              <a16:creationId xmlns:a16="http://schemas.microsoft.com/office/drawing/2014/main" id="{12081757-701C-467E-83D9-B69F204763D3}"/>
            </a:ext>
          </a:extLst>
        </xdr:cNvPr>
        <xdr:cNvSpPr/>
      </xdr:nvSpPr>
      <xdr:spPr>
        <a:xfrm>
          <a:off x="7791450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41" name="Shape 5">
          <a:extLst>
            <a:ext uri="{FF2B5EF4-FFF2-40B4-BE49-F238E27FC236}">
              <a16:creationId xmlns:a16="http://schemas.microsoft.com/office/drawing/2014/main" id="{FD209458-4177-498D-BF85-58579E68FB5A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</xdr:row>
      <xdr:rowOff>0</xdr:rowOff>
    </xdr:from>
    <xdr:ext cx="38100" cy="9525"/>
    <xdr:sp macro="" textlink="">
      <xdr:nvSpPr>
        <xdr:cNvPr id="442" name="Shape 4">
          <a:extLst>
            <a:ext uri="{FF2B5EF4-FFF2-40B4-BE49-F238E27FC236}">
              <a16:creationId xmlns:a16="http://schemas.microsoft.com/office/drawing/2014/main" id="{B8EB5E31-2DC0-488C-BD06-1511376DCFBE}"/>
            </a:ext>
          </a:extLst>
        </xdr:cNvPr>
        <xdr:cNvSpPr/>
      </xdr:nvSpPr>
      <xdr:spPr>
        <a:xfrm>
          <a:off x="7791450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43" name="Shape 6">
          <a:extLst>
            <a:ext uri="{FF2B5EF4-FFF2-40B4-BE49-F238E27FC236}">
              <a16:creationId xmlns:a16="http://schemas.microsoft.com/office/drawing/2014/main" id="{17228832-74FF-41AD-B659-F2C35CC9605F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44" name="Shape 6">
          <a:extLst>
            <a:ext uri="{FF2B5EF4-FFF2-40B4-BE49-F238E27FC236}">
              <a16:creationId xmlns:a16="http://schemas.microsoft.com/office/drawing/2014/main" id="{2AD9EB06-15CE-4B10-AB99-98AC43D825F7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45" name="Shape 6">
          <a:extLst>
            <a:ext uri="{FF2B5EF4-FFF2-40B4-BE49-F238E27FC236}">
              <a16:creationId xmlns:a16="http://schemas.microsoft.com/office/drawing/2014/main" id="{26BBD2E7-A1DB-4BD2-8E2F-F2C13C5FDF7B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46" name="Shape 6">
          <a:extLst>
            <a:ext uri="{FF2B5EF4-FFF2-40B4-BE49-F238E27FC236}">
              <a16:creationId xmlns:a16="http://schemas.microsoft.com/office/drawing/2014/main" id="{A6E88271-1C91-4E94-97CD-A3CD4ECE5A76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47" name="Shape 6">
          <a:extLst>
            <a:ext uri="{FF2B5EF4-FFF2-40B4-BE49-F238E27FC236}">
              <a16:creationId xmlns:a16="http://schemas.microsoft.com/office/drawing/2014/main" id="{785AAE04-4156-471E-99A6-FB790C82B3AE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48" name="Shape 6">
          <a:extLst>
            <a:ext uri="{FF2B5EF4-FFF2-40B4-BE49-F238E27FC236}">
              <a16:creationId xmlns:a16="http://schemas.microsoft.com/office/drawing/2014/main" id="{8C890EE0-A440-4052-AFB7-523F52444510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49" name="Shape 6">
          <a:extLst>
            <a:ext uri="{FF2B5EF4-FFF2-40B4-BE49-F238E27FC236}">
              <a16:creationId xmlns:a16="http://schemas.microsoft.com/office/drawing/2014/main" id="{E89615D2-0CB4-4B4C-AF54-2E4E11410901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0" name="Shape 6">
          <a:extLst>
            <a:ext uri="{FF2B5EF4-FFF2-40B4-BE49-F238E27FC236}">
              <a16:creationId xmlns:a16="http://schemas.microsoft.com/office/drawing/2014/main" id="{D8C6CAF9-8159-49C4-A1F6-D43CBCD091C2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1" name="Shape 6">
          <a:extLst>
            <a:ext uri="{FF2B5EF4-FFF2-40B4-BE49-F238E27FC236}">
              <a16:creationId xmlns:a16="http://schemas.microsoft.com/office/drawing/2014/main" id="{98E257EA-0DD8-4AAE-AA5D-66055C881858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2" name="Shape 5">
          <a:extLst>
            <a:ext uri="{FF2B5EF4-FFF2-40B4-BE49-F238E27FC236}">
              <a16:creationId xmlns:a16="http://schemas.microsoft.com/office/drawing/2014/main" id="{0B8C49E3-A66C-4C77-A204-2EEEB912C6B2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3" name="Shape 5">
          <a:extLst>
            <a:ext uri="{FF2B5EF4-FFF2-40B4-BE49-F238E27FC236}">
              <a16:creationId xmlns:a16="http://schemas.microsoft.com/office/drawing/2014/main" id="{349188B3-196A-42A1-B77C-E2A253CEB45F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4" name="Shape 5">
          <a:extLst>
            <a:ext uri="{FF2B5EF4-FFF2-40B4-BE49-F238E27FC236}">
              <a16:creationId xmlns:a16="http://schemas.microsoft.com/office/drawing/2014/main" id="{9D1734BC-C0C2-49C0-BAEE-18AB14D24231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5" name="Shape 5">
          <a:extLst>
            <a:ext uri="{FF2B5EF4-FFF2-40B4-BE49-F238E27FC236}">
              <a16:creationId xmlns:a16="http://schemas.microsoft.com/office/drawing/2014/main" id="{CEA6FD45-C2B8-4826-9B6D-FDF4836D85BD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6" name="Shape 5">
          <a:extLst>
            <a:ext uri="{FF2B5EF4-FFF2-40B4-BE49-F238E27FC236}">
              <a16:creationId xmlns:a16="http://schemas.microsoft.com/office/drawing/2014/main" id="{50DF64E7-DFD1-4EA9-9ACC-F1D61052EE2E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7" name="Shape 5">
          <a:extLst>
            <a:ext uri="{FF2B5EF4-FFF2-40B4-BE49-F238E27FC236}">
              <a16:creationId xmlns:a16="http://schemas.microsoft.com/office/drawing/2014/main" id="{E58364F8-6F35-4D16-98D2-976A5CABDB47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8" name="Shape 5">
          <a:extLst>
            <a:ext uri="{FF2B5EF4-FFF2-40B4-BE49-F238E27FC236}">
              <a16:creationId xmlns:a16="http://schemas.microsoft.com/office/drawing/2014/main" id="{C2241CBD-A6DF-4506-A73F-8F61A28BFD10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59" name="Shape 5">
          <a:extLst>
            <a:ext uri="{FF2B5EF4-FFF2-40B4-BE49-F238E27FC236}">
              <a16:creationId xmlns:a16="http://schemas.microsoft.com/office/drawing/2014/main" id="{77C54671-18CE-4D5E-8CFA-AD81B70D2001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60" name="Shape 6">
          <a:extLst>
            <a:ext uri="{FF2B5EF4-FFF2-40B4-BE49-F238E27FC236}">
              <a16:creationId xmlns:a16="http://schemas.microsoft.com/office/drawing/2014/main" id="{C827C0AD-9459-4C7B-9F29-89B7ADE044AC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61" name="Shape 6">
          <a:extLst>
            <a:ext uri="{FF2B5EF4-FFF2-40B4-BE49-F238E27FC236}">
              <a16:creationId xmlns:a16="http://schemas.microsoft.com/office/drawing/2014/main" id="{FB5EA166-BA43-428E-995C-DE2DB639689B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62" name="Shape 6">
          <a:extLst>
            <a:ext uri="{FF2B5EF4-FFF2-40B4-BE49-F238E27FC236}">
              <a16:creationId xmlns:a16="http://schemas.microsoft.com/office/drawing/2014/main" id="{9D374608-775D-4489-8CE5-9B750B71DBFA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63" name="Shape 6">
          <a:extLst>
            <a:ext uri="{FF2B5EF4-FFF2-40B4-BE49-F238E27FC236}">
              <a16:creationId xmlns:a16="http://schemas.microsoft.com/office/drawing/2014/main" id="{1F9B77AF-43C2-469D-BE90-DA236AACAF6A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64" name="Shape 6">
          <a:extLst>
            <a:ext uri="{FF2B5EF4-FFF2-40B4-BE49-F238E27FC236}">
              <a16:creationId xmlns:a16="http://schemas.microsoft.com/office/drawing/2014/main" id="{2DC1940D-24D4-492A-A1C2-5342B0FB5DAE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</xdr:row>
      <xdr:rowOff>0</xdr:rowOff>
    </xdr:from>
    <xdr:ext cx="38100" cy="9525"/>
    <xdr:sp macro="" textlink="">
      <xdr:nvSpPr>
        <xdr:cNvPr id="465" name="Shape 7">
          <a:extLst>
            <a:ext uri="{FF2B5EF4-FFF2-40B4-BE49-F238E27FC236}">
              <a16:creationId xmlns:a16="http://schemas.microsoft.com/office/drawing/2014/main" id="{268ED355-6388-4551-BD33-ED7C91A71CA2}"/>
            </a:ext>
          </a:extLst>
        </xdr:cNvPr>
        <xdr:cNvSpPr/>
      </xdr:nvSpPr>
      <xdr:spPr>
        <a:xfrm>
          <a:off x="7791450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66" name="Shape 6">
          <a:extLst>
            <a:ext uri="{FF2B5EF4-FFF2-40B4-BE49-F238E27FC236}">
              <a16:creationId xmlns:a16="http://schemas.microsoft.com/office/drawing/2014/main" id="{24F7147C-8289-423A-828D-CBC0E22A6934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</xdr:row>
      <xdr:rowOff>0</xdr:rowOff>
    </xdr:from>
    <xdr:ext cx="38100" cy="9525"/>
    <xdr:sp macro="" textlink="">
      <xdr:nvSpPr>
        <xdr:cNvPr id="467" name="Shape 7">
          <a:extLst>
            <a:ext uri="{FF2B5EF4-FFF2-40B4-BE49-F238E27FC236}">
              <a16:creationId xmlns:a16="http://schemas.microsoft.com/office/drawing/2014/main" id="{8385E846-0E7B-411B-AAB6-96F2E2F22137}"/>
            </a:ext>
          </a:extLst>
        </xdr:cNvPr>
        <xdr:cNvSpPr/>
      </xdr:nvSpPr>
      <xdr:spPr>
        <a:xfrm>
          <a:off x="7791450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28575" cy="9525"/>
    <xdr:sp macro="" textlink="">
      <xdr:nvSpPr>
        <xdr:cNvPr id="468" name="Shape 6">
          <a:extLst>
            <a:ext uri="{FF2B5EF4-FFF2-40B4-BE49-F238E27FC236}">
              <a16:creationId xmlns:a16="http://schemas.microsoft.com/office/drawing/2014/main" id="{BAC85DE3-D729-418F-B414-0D2EE540421B}"/>
            </a:ext>
          </a:extLst>
        </xdr:cNvPr>
        <xdr:cNvSpPr/>
      </xdr:nvSpPr>
      <xdr:spPr>
        <a:xfrm>
          <a:off x="1514475" y="41433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69" name="Shape 6">
          <a:extLst>
            <a:ext uri="{FF2B5EF4-FFF2-40B4-BE49-F238E27FC236}">
              <a16:creationId xmlns:a16="http://schemas.microsoft.com/office/drawing/2014/main" id="{2A6FACC0-05F7-44E0-AABF-42936FE1489B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70" name="Shape 6">
          <a:extLst>
            <a:ext uri="{FF2B5EF4-FFF2-40B4-BE49-F238E27FC236}">
              <a16:creationId xmlns:a16="http://schemas.microsoft.com/office/drawing/2014/main" id="{0F4FB4DC-E52B-42F7-8925-646AC1201D24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71" name="Shape 6">
          <a:extLst>
            <a:ext uri="{FF2B5EF4-FFF2-40B4-BE49-F238E27FC236}">
              <a16:creationId xmlns:a16="http://schemas.microsoft.com/office/drawing/2014/main" id="{3DCD0DD4-4A94-40ED-94E6-7FEDA491FF4F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72" name="Shape 6">
          <a:extLst>
            <a:ext uri="{FF2B5EF4-FFF2-40B4-BE49-F238E27FC236}">
              <a16:creationId xmlns:a16="http://schemas.microsoft.com/office/drawing/2014/main" id="{74E47579-D68D-4692-AEA8-33239C9E5B70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73" name="Shape 6">
          <a:extLst>
            <a:ext uri="{FF2B5EF4-FFF2-40B4-BE49-F238E27FC236}">
              <a16:creationId xmlns:a16="http://schemas.microsoft.com/office/drawing/2014/main" id="{820DCDCE-3007-431F-86CF-AFA36F74AEEF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74" name="Shape 5">
          <a:extLst>
            <a:ext uri="{FF2B5EF4-FFF2-40B4-BE49-F238E27FC236}">
              <a16:creationId xmlns:a16="http://schemas.microsoft.com/office/drawing/2014/main" id="{2A68FA79-6E56-423C-80B9-FE4584658D56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75" name="Shape 5">
          <a:extLst>
            <a:ext uri="{FF2B5EF4-FFF2-40B4-BE49-F238E27FC236}">
              <a16:creationId xmlns:a16="http://schemas.microsoft.com/office/drawing/2014/main" id="{9A4FE509-5E3B-4FA3-8A42-6F01627F465C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76" name="Shape 5">
          <a:extLst>
            <a:ext uri="{FF2B5EF4-FFF2-40B4-BE49-F238E27FC236}">
              <a16:creationId xmlns:a16="http://schemas.microsoft.com/office/drawing/2014/main" id="{7961420C-291E-4D6B-B428-139A08983A00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77" name="Shape 5">
          <a:extLst>
            <a:ext uri="{FF2B5EF4-FFF2-40B4-BE49-F238E27FC236}">
              <a16:creationId xmlns:a16="http://schemas.microsoft.com/office/drawing/2014/main" id="{0CCBB728-1A11-42B1-AEF7-7D46D7346520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78" name="Shape 5">
          <a:extLst>
            <a:ext uri="{FF2B5EF4-FFF2-40B4-BE49-F238E27FC236}">
              <a16:creationId xmlns:a16="http://schemas.microsoft.com/office/drawing/2014/main" id="{C78D170B-1A2A-48D4-803C-0B40EB2AA1C1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</xdr:row>
      <xdr:rowOff>0</xdr:rowOff>
    </xdr:from>
    <xdr:ext cx="38100" cy="9525"/>
    <xdr:sp macro="" textlink="">
      <xdr:nvSpPr>
        <xdr:cNvPr id="479" name="Shape 4">
          <a:extLst>
            <a:ext uri="{FF2B5EF4-FFF2-40B4-BE49-F238E27FC236}">
              <a16:creationId xmlns:a16="http://schemas.microsoft.com/office/drawing/2014/main" id="{BCE71BF4-3BB6-43EB-9AEC-4471AA371C92}"/>
            </a:ext>
          </a:extLst>
        </xdr:cNvPr>
        <xdr:cNvSpPr/>
      </xdr:nvSpPr>
      <xdr:spPr>
        <a:xfrm>
          <a:off x="7791450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80" name="Shape 5">
          <a:extLst>
            <a:ext uri="{FF2B5EF4-FFF2-40B4-BE49-F238E27FC236}">
              <a16:creationId xmlns:a16="http://schemas.microsoft.com/office/drawing/2014/main" id="{87BAF497-E596-4490-9425-1C4F1A3AE053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</xdr:row>
      <xdr:rowOff>0</xdr:rowOff>
    </xdr:from>
    <xdr:ext cx="38100" cy="9525"/>
    <xdr:sp macro="" textlink="">
      <xdr:nvSpPr>
        <xdr:cNvPr id="481" name="Shape 4">
          <a:extLst>
            <a:ext uri="{FF2B5EF4-FFF2-40B4-BE49-F238E27FC236}">
              <a16:creationId xmlns:a16="http://schemas.microsoft.com/office/drawing/2014/main" id="{265091C0-D484-465F-AEA4-BF1D4D60EC58}"/>
            </a:ext>
          </a:extLst>
        </xdr:cNvPr>
        <xdr:cNvSpPr/>
      </xdr:nvSpPr>
      <xdr:spPr>
        <a:xfrm>
          <a:off x="7791450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82" name="Shape 5">
          <a:extLst>
            <a:ext uri="{FF2B5EF4-FFF2-40B4-BE49-F238E27FC236}">
              <a16:creationId xmlns:a16="http://schemas.microsoft.com/office/drawing/2014/main" id="{31976236-4CB1-4C80-9EB0-96C79D8C16D8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83" name="Shape 5">
          <a:extLst>
            <a:ext uri="{FF2B5EF4-FFF2-40B4-BE49-F238E27FC236}">
              <a16:creationId xmlns:a16="http://schemas.microsoft.com/office/drawing/2014/main" id="{84DFFC02-7F18-445F-8CBF-15C921870067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84" name="Shape 5">
          <a:extLst>
            <a:ext uri="{FF2B5EF4-FFF2-40B4-BE49-F238E27FC236}">
              <a16:creationId xmlns:a16="http://schemas.microsoft.com/office/drawing/2014/main" id="{4FC69B13-9447-4027-90D6-425388ABFE60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85" name="Shape 5">
          <a:extLst>
            <a:ext uri="{FF2B5EF4-FFF2-40B4-BE49-F238E27FC236}">
              <a16:creationId xmlns:a16="http://schemas.microsoft.com/office/drawing/2014/main" id="{C50E6356-CD57-4602-B50B-45261218897A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86" name="Shape 5">
          <a:extLst>
            <a:ext uri="{FF2B5EF4-FFF2-40B4-BE49-F238E27FC236}">
              <a16:creationId xmlns:a16="http://schemas.microsoft.com/office/drawing/2014/main" id="{1CD363AF-45B7-4B1A-B217-B2A659EDDF68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87" name="Shape 5">
          <a:extLst>
            <a:ext uri="{FF2B5EF4-FFF2-40B4-BE49-F238E27FC236}">
              <a16:creationId xmlns:a16="http://schemas.microsoft.com/office/drawing/2014/main" id="{F1F1C9EE-5ACD-4DCC-B937-3F92A95B191C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88" name="Shape 5">
          <a:extLst>
            <a:ext uri="{FF2B5EF4-FFF2-40B4-BE49-F238E27FC236}">
              <a16:creationId xmlns:a16="http://schemas.microsoft.com/office/drawing/2014/main" id="{E093B2AB-8247-4CCB-AD20-B642B011A396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89" name="Shape 5">
          <a:extLst>
            <a:ext uri="{FF2B5EF4-FFF2-40B4-BE49-F238E27FC236}">
              <a16:creationId xmlns:a16="http://schemas.microsoft.com/office/drawing/2014/main" id="{43590180-B0AF-4F39-B05E-47F3BE3EC703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90" name="Shape 5">
          <a:extLst>
            <a:ext uri="{FF2B5EF4-FFF2-40B4-BE49-F238E27FC236}">
              <a16:creationId xmlns:a16="http://schemas.microsoft.com/office/drawing/2014/main" id="{434FFBC5-3BE0-4DE2-AEA7-9247A52EBF4C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91" name="Shape 5">
          <a:extLst>
            <a:ext uri="{FF2B5EF4-FFF2-40B4-BE49-F238E27FC236}">
              <a16:creationId xmlns:a16="http://schemas.microsoft.com/office/drawing/2014/main" id="{4C1E2991-A714-4FBD-8B69-E6F41ADCCEEE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</xdr:row>
      <xdr:rowOff>0</xdr:rowOff>
    </xdr:from>
    <xdr:ext cx="38100" cy="9525"/>
    <xdr:sp macro="" textlink="">
      <xdr:nvSpPr>
        <xdr:cNvPr id="492" name="Shape 5">
          <a:extLst>
            <a:ext uri="{FF2B5EF4-FFF2-40B4-BE49-F238E27FC236}">
              <a16:creationId xmlns:a16="http://schemas.microsoft.com/office/drawing/2014/main" id="{13B777B1-A197-457B-951D-D7F1E21254F7}"/>
            </a:ext>
          </a:extLst>
        </xdr:cNvPr>
        <xdr:cNvSpPr/>
      </xdr:nvSpPr>
      <xdr:spPr>
        <a:xfrm>
          <a:off x="1514475" y="41433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493" name="Shape 4">
          <a:extLst>
            <a:ext uri="{FF2B5EF4-FFF2-40B4-BE49-F238E27FC236}">
              <a16:creationId xmlns:a16="http://schemas.microsoft.com/office/drawing/2014/main" id="{995C7995-CC7A-43C8-8240-5BE3DF6A8634}"/>
            </a:ext>
          </a:extLst>
        </xdr:cNvPr>
        <xdr:cNvSpPr/>
      </xdr:nvSpPr>
      <xdr:spPr>
        <a:xfrm>
          <a:off x="7791450" y="43338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494" name="Shape 4">
          <a:extLst>
            <a:ext uri="{FF2B5EF4-FFF2-40B4-BE49-F238E27FC236}">
              <a16:creationId xmlns:a16="http://schemas.microsoft.com/office/drawing/2014/main" id="{9ECCDEDB-3891-4189-ABF9-EE139AD17A3A}"/>
            </a:ext>
          </a:extLst>
        </xdr:cNvPr>
        <xdr:cNvSpPr/>
      </xdr:nvSpPr>
      <xdr:spPr>
        <a:xfrm>
          <a:off x="7791450" y="43338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495" name="Shape 7">
          <a:extLst>
            <a:ext uri="{FF2B5EF4-FFF2-40B4-BE49-F238E27FC236}">
              <a16:creationId xmlns:a16="http://schemas.microsoft.com/office/drawing/2014/main" id="{4FB9955B-4C20-4A22-B65A-B33A03CBAC3F}"/>
            </a:ext>
          </a:extLst>
        </xdr:cNvPr>
        <xdr:cNvSpPr/>
      </xdr:nvSpPr>
      <xdr:spPr>
        <a:xfrm>
          <a:off x="7791450" y="43338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496" name="Shape 7">
          <a:extLst>
            <a:ext uri="{FF2B5EF4-FFF2-40B4-BE49-F238E27FC236}">
              <a16:creationId xmlns:a16="http://schemas.microsoft.com/office/drawing/2014/main" id="{15E06743-6841-45CE-8875-97683A4C82F3}"/>
            </a:ext>
          </a:extLst>
        </xdr:cNvPr>
        <xdr:cNvSpPr/>
      </xdr:nvSpPr>
      <xdr:spPr>
        <a:xfrm>
          <a:off x="7791450" y="43338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497" name="Shape 4">
          <a:extLst>
            <a:ext uri="{FF2B5EF4-FFF2-40B4-BE49-F238E27FC236}">
              <a16:creationId xmlns:a16="http://schemas.microsoft.com/office/drawing/2014/main" id="{338A10C0-47B0-4DE5-A957-F60C264796D9}"/>
            </a:ext>
          </a:extLst>
        </xdr:cNvPr>
        <xdr:cNvSpPr/>
      </xdr:nvSpPr>
      <xdr:spPr>
        <a:xfrm>
          <a:off x="7791450" y="43338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14</xdr:row>
      <xdr:rowOff>0</xdr:rowOff>
    </xdr:from>
    <xdr:ext cx="38100" cy="9525"/>
    <xdr:sp macro="" textlink="">
      <xdr:nvSpPr>
        <xdr:cNvPr id="498" name="Shape 4">
          <a:extLst>
            <a:ext uri="{FF2B5EF4-FFF2-40B4-BE49-F238E27FC236}">
              <a16:creationId xmlns:a16="http://schemas.microsoft.com/office/drawing/2014/main" id="{BAAB44AE-3C30-4835-A576-4D0EC0B8EC6F}"/>
            </a:ext>
          </a:extLst>
        </xdr:cNvPr>
        <xdr:cNvSpPr/>
      </xdr:nvSpPr>
      <xdr:spPr>
        <a:xfrm>
          <a:off x="7791450" y="43338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499" name="Shape 5">
          <a:extLst>
            <a:ext uri="{FF2B5EF4-FFF2-40B4-BE49-F238E27FC236}">
              <a16:creationId xmlns:a16="http://schemas.microsoft.com/office/drawing/2014/main" id="{4DC3042B-821D-453A-BA9E-E39627CE64E6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00" name="Shape 5">
          <a:extLst>
            <a:ext uri="{FF2B5EF4-FFF2-40B4-BE49-F238E27FC236}">
              <a16:creationId xmlns:a16="http://schemas.microsoft.com/office/drawing/2014/main" id="{BF4848F8-469C-491B-8283-AC35547A3069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01" name="Shape 5">
          <a:extLst>
            <a:ext uri="{FF2B5EF4-FFF2-40B4-BE49-F238E27FC236}">
              <a16:creationId xmlns:a16="http://schemas.microsoft.com/office/drawing/2014/main" id="{1BD8387A-0CC2-449A-B07B-9BE1C6A1E4EC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02" name="Shape 5">
          <a:extLst>
            <a:ext uri="{FF2B5EF4-FFF2-40B4-BE49-F238E27FC236}">
              <a16:creationId xmlns:a16="http://schemas.microsoft.com/office/drawing/2014/main" id="{6D624A24-40A7-45A5-AE48-6C82B50B57BC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03" name="Shape 5">
          <a:extLst>
            <a:ext uri="{FF2B5EF4-FFF2-40B4-BE49-F238E27FC236}">
              <a16:creationId xmlns:a16="http://schemas.microsoft.com/office/drawing/2014/main" id="{4B12F26B-BF9D-4BDA-8E35-5D681702EBF6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504" name="Shape 4">
          <a:extLst>
            <a:ext uri="{FF2B5EF4-FFF2-40B4-BE49-F238E27FC236}">
              <a16:creationId xmlns:a16="http://schemas.microsoft.com/office/drawing/2014/main" id="{E504C897-8110-4BCD-9FBF-FA387B14F86C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05" name="Shape 5">
          <a:extLst>
            <a:ext uri="{FF2B5EF4-FFF2-40B4-BE49-F238E27FC236}">
              <a16:creationId xmlns:a16="http://schemas.microsoft.com/office/drawing/2014/main" id="{B7961B8C-E14F-4BF6-95CC-0674031A04D3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506" name="Shape 4">
          <a:extLst>
            <a:ext uri="{FF2B5EF4-FFF2-40B4-BE49-F238E27FC236}">
              <a16:creationId xmlns:a16="http://schemas.microsoft.com/office/drawing/2014/main" id="{8D4BAE8B-9A7D-4728-B41E-107A326330D5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07" name="Shape 6">
          <a:extLst>
            <a:ext uri="{FF2B5EF4-FFF2-40B4-BE49-F238E27FC236}">
              <a16:creationId xmlns:a16="http://schemas.microsoft.com/office/drawing/2014/main" id="{77D33A86-92FB-4286-95E1-E6A981573EDB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08" name="Shape 6">
          <a:extLst>
            <a:ext uri="{FF2B5EF4-FFF2-40B4-BE49-F238E27FC236}">
              <a16:creationId xmlns:a16="http://schemas.microsoft.com/office/drawing/2014/main" id="{D67F2EDA-A91D-467F-89BA-5FAE0CC114FF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09" name="Shape 6">
          <a:extLst>
            <a:ext uri="{FF2B5EF4-FFF2-40B4-BE49-F238E27FC236}">
              <a16:creationId xmlns:a16="http://schemas.microsoft.com/office/drawing/2014/main" id="{6BFCC8DB-FAC0-4DCC-9CD2-38432E8B1502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10" name="Shape 6">
          <a:extLst>
            <a:ext uri="{FF2B5EF4-FFF2-40B4-BE49-F238E27FC236}">
              <a16:creationId xmlns:a16="http://schemas.microsoft.com/office/drawing/2014/main" id="{65CAB694-0FC5-46CD-8E1C-7D822E53AB2C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11" name="Shape 6">
          <a:extLst>
            <a:ext uri="{FF2B5EF4-FFF2-40B4-BE49-F238E27FC236}">
              <a16:creationId xmlns:a16="http://schemas.microsoft.com/office/drawing/2014/main" id="{2A0ABD64-5E5F-4FA0-B490-88BBFDBF829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12" name="Shape 6">
          <a:extLst>
            <a:ext uri="{FF2B5EF4-FFF2-40B4-BE49-F238E27FC236}">
              <a16:creationId xmlns:a16="http://schemas.microsoft.com/office/drawing/2014/main" id="{2190FF86-3693-4AF4-8D08-D96D707375A2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13" name="Shape 6">
          <a:extLst>
            <a:ext uri="{FF2B5EF4-FFF2-40B4-BE49-F238E27FC236}">
              <a16:creationId xmlns:a16="http://schemas.microsoft.com/office/drawing/2014/main" id="{6A692D9B-F344-4951-8D25-9A1B9A7BB43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14" name="Shape 6">
          <a:extLst>
            <a:ext uri="{FF2B5EF4-FFF2-40B4-BE49-F238E27FC236}">
              <a16:creationId xmlns:a16="http://schemas.microsoft.com/office/drawing/2014/main" id="{26939731-0058-472A-8E4F-CB50ABAE7A8F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15" name="Shape 6">
          <a:extLst>
            <a:ext uri="{FF2B5EF4-FFF2-40B4-BE49-F238E27FC236}">
              <a16:creationId xmlns:a16="http://schemas.microsoft.com/office/drawing/2014/main" id="{CE5E683A-0045-480F-A091-EE824C26DCB4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16" name="Shape 5">
          <a:extLst>
            <a:ext uri="{FF2B5EF4-FFF2-40B4-BE49-F238E27FC236}">
              <a16:creationId xmlns:a16="http://schemas.microsoft.com/office/drawing/2014/main" id="{78B1EE83-D959-4D2A-8C98-9AA5D09B225F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17" name="Shape 5">
          <a:extLst>
            <a:ext uri="{FF2B5EF4-FFF2-40B4-BE49-F238E27FC236}">
              <a16:creationId xmlns:a16="http://schemas.microsoft.com/office/drawing/2014/main" id="{FE79F2CF-CBCA-43BA-B489-ABE41D63592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18" name="Shape 5">
          <a:extLst>
            <a:ext uri="{FF2B5EF4-FFF2-40B4-BE49-F238E27FC236}">
              <a16:creationId xmlns:a16="http://schemas.microsoft.com/office/drawing/2014/main" id="{40956E1B-CCD8-47E7-95BE-6B779B2242AA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19" name="Shape 5">
          <a:extLst>
            <a:ext uri="{FF2B5EF4-FFF2-40B4-BE49-F238E27FC236}">
              <a16:creationId xmlns:a16="http://schemas.microsoft.com/office/drawing/2014/main" id="{C09B4754-ECD6-4783-B16A-84103B697515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20" name="Shape 5">
          <a:extLst>
            <a:ext uri="{FF2B5EF4-FFF2-40B4-BE49-F238E27FC236}">
              <a16:creationId xmlns:a16="http://schemas.microsoft.com/office/drawing/2014/main" id="{6CB0BAD3-6573-45E9-8F3D-A6E6BFB4009A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21" name="Shape 5">
          <a:extLst>
            <a:ext uri="{FF2B5EF4-FFF2-40B4-BE49-F238E27FC236}">
              <a16:creationId xmlns:a16="http://schemas.microsoft.com/office/drawing/2014/main" id="{34FE7A71-B1BA-4AED-9379-CD44B7337E04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22" name="Shape 5">
          <a:extLst>
            <a:ext uri="{FF2B5EF4-FFF2-40B4-BE49-F238E27FC236}">
              <a16:creationId xmlns:a16="http://schemas.microsoft.com/office/drawing/2014/main" id="{B3F02866-5F54-4DAB-91EF-97E582718945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23" name="Shape 5">
          <a:extLst>
            <a:ext uri="{FF2B5EF4-FFF2-40B4-BE49-F238E27FC236}">
              <a16:creationId xmlns:a16="http://schemas.microsoft.com/office/drawing/2014/main" id="{C704AF0D-0C4E-4BA8-B4BB-E2BCCA90D55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24" name="Shape 6">
          <a:extLst>
            <a:ext uri="{FF2B5EF4-FFF2-40B4-BE49-F238E27FC236}">
              <a16:creationId xmlns:a16="http://schemas.microsoft.com/office/drawing/2014/main" id="{82C6E525-60DA-4AB4-B8EE-7CB8835FAAB7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25" name="Shape 6">
          <a:extLst>
            <a:ext uri="{FF2B5EF4-FFF2-40B4-BE49-F238E27FC236}">
              <a16:creationId xmlns:a16="http://schemas.microsoft.com/office/drawing/2014/main" id="{1A569BD8-AF0A-4BA8-9D40-8EA49A521CE9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26" name="Shape 6">
          <a:extLst>
            <a:ext uri="{FF2B5EF4-FFF2-40B4-BE49-F238E27FC236}">
              <a16:creationId xmlns:a16="http://schemas.microsoft.com/office/drawing/2014/main" id="{98DFD0CC-95D8-402E-BA30-B1603186E7B8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27" name="Shape 6">
          <a:extLst>
            <a:ext uri="{FF2B5EF4-FFF2-40B4-BE49-F238E27FC236}">
              <a16:creationId xmlns:a16="http://schemas.microsoft.com/office/drawing/2014/main" id="{F2B56CD4-5AE6-4C07-93A7-C1D2F1B01530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28" name="Shape 6">
          <a:extLst>
            <a:ext uri="{FF2B5EF4-FFF2-40B4-BE49-F238E27FC236}">
              <a16:creationId xmlns:a16="http://schemas.microsoft.com/office/drawing/2014/main" id="{F41F549F-1951-4B57-B7F2-B308FBAF267D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529" name="Shape 7">
          <a:extLst>
            <a:ext uri="{FF2B5EF4-FFF2-40B4-BE49-F238E27FC236}">
              <a16:creationId xmlns:a16="http://schemas.microsoft.com/office/drawing/2014/main" id="{DC1C9821-162E-41B7-9F12-D0102645C9FC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30" name="Shape 6">
          <a:extLst>
            <a:ext uri="{FF2B5EF4-FFF2-40B4-BE49-F238E27FC236}">
              <a16:creationId xmlns:a16="http://schemas.microsoft.com/office/drawing/2014/main" id="{8C089FC6-2ACB-43E9-8F05-0A1F9DE1B5AE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531" name="Shape 7">
          <a:extLst>
            <a:ext uri="{FF2B5EF4-FFF2-40B4-BE49-F238E27FC236}">
              <a16:creationId xmlns:a16="http://schemas.microsoft.com/office/drawing/2014/main" id="{DC0A74CB-CAFE-4BB4-AEF4-AFD79156DED2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28575" cy="9525"/>
    <xdr:sp macro="" textlink="">
      <xdr:nvSpPr>
        <xdr:cNvPr id="532" name="Shape 6">
          <a:extLst>
            <a:ext uri="{FF2B5EF4-FFF2-40B4-BE49-F238E27FC236}">
              <a16:creationId xmlns:a16="http://schemas.microsoft.com/office/drawing/2014/main" id="{92691728-FFCA-44FF-BA18-5D81C8DA563A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33" name="Shape 6">
          <a:extLst>
            <a:ext uri="{FF2B5EF4-FFF2-40B4-BE49-F238E27FC236}">
              <a16:creationId xmlns:a16="http://schemas.microsoft.com/office/drawing/2014/main" id="{73553A0D-6AE7-4FED-8E31-FEB33A90417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34" name="Shape 6">
          <a:extLst>
            <a:ext uri="{FF2B5EF4-FFF2-40B4-BE49-F238E27FC236}">
              <a16:creationId xmlns:a16="http://schemas.microsoft.com/office/drawing/2014/main" id="{9709B3C0-BCFD-438D-BFE4-07E0BB88BBBC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35" name="Shape 6">
          <a:extLst>
            <a:ext uri="{FF2B5EF4-FFF2-40B4-BE49-F238E27FC236}">
              <a16:creationId xmlns:a16="http://schemas.microsoft.com/office/drawing/2014/main" id="{2A0F9A28-3185-4598-A932-39DB7399331F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36" name="Shape 6">
          <a:extLst>
            <a:ext uri="{FF2B5EF4-FFF2-40B4-BE49-F238E27FC236}">
              <a16:creationId xmlns:a16="http://schemas.microsoft.com/office/drawing/2014/main" id="{DF51EBFB-B28F-443F-BC86-299F382D3ACA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37" name="Shape 6">
          <a:extLst>
            <a:ext uri="{FF2B5EF4-FFF2-40B4-BE49-F238E27FC236}">
              <a16:creationId xmlns:a16="http://schemas.microsoft.com/office/drawing/2014/main" id="{ED79C4ED-5E06-4F87-A923-C2A9369BC621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38" name="Shape 5">
          <a:extLst>
            <a:ext uri="{FF2B5EF4-FFF2-40B4-BE49-F238E27FC236}">
              <a16:creationId xmlns:a16="http://schemas.microsoft.com/office/drawing/2014/main" id="{07F6DEF0-CDAB-4AB0-9165-0EC3955D6119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39" name="Shape 5">
          <a:extLst>
            <a:ext uri="{FF2B5EF4-FFF2-40B4-BE49-F238E27FC236}">
              <a16:creationId xmlns:a16="http://schemas.microsoft.com/office/drawing/2014/main" id="{F15AEF91-A051-4E97-BD85-4849BD4EAAC5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40" name="Shape 5">
          <a:extLst>
            <a:ext uri="{FF2B5EF4-FFF2-40B4-BE49-F238E27FC236}">
              <a16:creationId xmlns:a16="http://schemas.microsoft.com/office/drawing/2014/main" id="{725FD774-F354-48FA-B2E6-E095558BA043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41" name="Shape 5">
          <a:extLst>
            <a:ext uri="{FF2B5EF4-FFF2-40B4-BE49-F238E27FC236}">
              <a16:creationId xmlns:a16="http://schemas.microsoft.com/office/drawing/2014/main" id="{6BE95372-B3C3-446D-80D8-F2A95FB600CC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42" name="Shape 5">
          <a:extLst>
            <a:ext uri="{FF2B5EF4-FFF2-40B4-BE49-F238E27FC236}">
              <a16:creationId xmlns:a16="http://schemas.microsoft.com/office/drawing/2014/main" id="{5EEB6487-F8F4-4F0B-BC55-8965F5B4ED0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543" name="Shape 4">
          <a:extLst>
            <a:ext uri="{FF2B5EF4-FFF2-40B4-BE49-F238E27FC236}">
              <a16:creationId xmlns:a16="http://schemas.microsoft.com/office/drawing/2014/main" id="{AF7401A6-824F-4C8C-B662-FABB681F3129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44" name="Shape 5">
          <a:extLst>
            <a:ext uri="{FF2B5EF4-FFF2-40B4-BE49-F238E27FC236}">
              <a16:creationId xmlns:a16="http://schemas.microsoft.com/office/drawing/2014/main" id="{C7016CD6-B1C8-492D-8A73-CC6ACA4D9533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545" name="Shape 4">
          <a:extLst>
            <a:ext uri="{FF2B5EF4-FFF2-40B4-BE49-F238E27FC236}">
              <a16:creationId xmlns:a16="http://schemas.microsoft.com/office/drawing/2014/main" id="{F2736117-372D-4A7C-B777-95A112638387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46" name="Shape 5">
          <a:extLst>
            <a:ext uri="{FF2B5EF4-FFF2-40B4-BE49-F238E27FC236}">
              <a16:creationId xmlns:a16="http://schemas.microsoft.com/office/drawing/2014/main" id="{E98F2425-AA72-4EAE-BE08-22B4A133B59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47" name="Shape 5">
          <a:extLst>
            <a:ext uri="{FF2B5EF4-FFF2-40B4-BE49-F238E27FC236}">
              <a16:creationId xmlns:a16="http://schemas.microsoft.com/office/drawing/2014/main" id="{0BCCD7AB-F7AA-4924-814F-960B90749AA8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48" name="Shape 5">
          <a:extLst>
            <a:ext uri="{FF2B5EF4-FFF2-40B4-BE49-F238E27FC236}">
              <a16:creationId xmlns:a16="http://schemas.microsoft.com/office/drawing/2014/main" id="{A64FE5E9-7711-4E36-85F3-ECAFEABA1C7A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49" name="Shape 5">
          <a:extLst>
            <a:ext uri="{FF2B5EF4-FFF2-40B4-BE49-F238E27FC236}">
              <a16:creationId xmlns:a16="http://schemas.microsoft.com/office/drawing/2014/main" id="{D83ECCE7-072D-4427-A879-DA9E1E89803E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50" name="Shape 5">
          <a:extLst>
            <a:ext uri="{FF2B5EF4-FFF2-40B4-BE49-F238E27FC236}">
              <a16:creationId xmlns:a16="http://schemas.microsoft.com/office/drawing/2014/main" id="{415B4DFA-B000-483A-ADFF-4243B734522C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51" name="Shape 5">
          <a:extLst>
            <a:ext uri="{FF2B5EF4-FFF2-40B4-BE49-F238E27FC236}">
              <a16:creationId xmlns:a16="http://schemas.microsoft.com/office/drawing/2014/main" id="{C60FB409-8951-45B4-9D5B-749300D70A9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52" name="Shape 5">
          <a:extLst>
            <a:ext uri="{FF2B5EF4-FFF2-40B4-BE49-F238E27FC236}">
              <a16:creationId xmlns:a16="http://schemas.microsoft.com/office/drawing/2014/main" id="{94CD18DE-F86D-4DA0-B666-A72B77534CC1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53" name="Shape 5">
          <a:extLst>
            <a:ext uri="{FF2B5EF4-FFF2-40B4-BE49-F238E27FC236}">
              <a16:creationId xmlns:a16="http://schemas.microsoft.com/office/drawing/2014/main" id="{706C3340-BE9F-4803-883D-81A262ABAE9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54" name="Shape 5">
          <a:extLst>
            <a:ext uri="{FF2B5EF4-FFF2-40B4-BE49-F238E27FC236}">
              <a16:creationId xmlns:a16="http://schemas.microsoft.com/office/drawing/2014/main" id="{53B1CFFC-7DD2-45F7-A647-4162B96E6F1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55" name="Shape 5">
          <a:extLst>
            <a:ext uri="{FF2B5EF4-FFF2-40B4-BE49-F238E27FC236}">
              <a16:creationId xmlns:a16="http://schemas.microsoft.com/office/drawing/2014/main" id="{33F7077D-EE25-4F75-87D4-E15BF1C5CF91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45</xdr:row>
      <xdr:rowOff>0</xdr:rowOff>
    </xdr:from>
    <xdr:ext cx="38100" cy="9525"/>
    <xdr:sp macro="" textlink="">
      <xdr:nvSpPr>
        <xdr:cNvPr id="556" name="Shape 5">
          <a:extLst>
            <a:ext uri="{FF2B5EF4-FFF2-40B4-BE49-F238E27FC236}">
              <a16:creationId xmlns:a16="http://schemas.microsoft.com/office/drawing/2014/main" id="{65ECA499-3DBE-46B6-8C1E-82FB2C6B1A29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557" name="Shape 4">
          <a:extLst>
            <a:ext uri="{FF2B5EF4-FFF2-40B4-BE49-F238E27FC236}">
              <a16:creationId xmlns:a16="http://schemas.microsoft.com/office/drawing/2014/main" id="{F76962CA-68B3-4CB3-8710-44442A56866D}"/>
            </a:ext>
          </a:extLst>
        </xdr:cNvPr>
        <xdr:cNvSpPr/>
      </xdr:nvSpPr>
      <xdr:spPr>
        <a:xfrm>
          <a:off x="7791450" y="9220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558" name="Shape 4">
          <a:extLst>
            <a:ext uri="{FF2B5EF4-FFF2-40B4-BE49-F238E27FC236}">
              <a16:creationId xmlns:a16="http://schemas.microsoft.com/office/drawing/2014/main" id="{CAEDDB0A-3F06-4126-B1E7-DE22CB1E29C8}"/>
            </a:ext>
          </a:extLst>
        </xdr:cNvPr>
        <xdr:cNvSpPr/>
      </xdr:nvSpPr>
      <xdr:spPr>
        <a:xfrm>
          <a:off x="7791450" y="9220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559" name="Shape 7">
          <a:extLst>
            <a:ext uri="{FF2B5EF4-FFF2-40B4-BE49-F238E27FC236}">
              <a16:creationId xmlns:a16="http://schemas.microsoft.com/office/drawing/2014/main" id="{B7361AFC-89CE-4915-BDC2-9CF9A67F20E2}"/>
            </a:ext>
          </a:extLst>
        </xdr:cNvPr>
        <xdr:cNvSpPr/>
      </xdr:nvSpPr>
      <xdr:spPr>
        <a:xfrm>
          <a:off x="7791450" y="9220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560" name="Shape 7">
          <a:extLst>
            <a:ext uri="{FF2B5EF4-FFF2-40B4-BE49-F238E27FC236}">
              <a16:creationId xmlns:a16="http://schemas.microsoft.com/office/drawing/2014/main" id="{C4839056-2E23-4A62-85EA-7B66CD9DFBB1}"/>
            </a:ext>
          </a:extLst>
        </xdr:cNvPr>
        <xdr:cNvSpPr/>
      </xdr:nvSpPr>
      <xdr:spPr>
        <a:xfrm>
          <a:off x="7791450" y="9220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561" name="Shape 4">
          <a:extLst>
            <a:ext uri="{FF2B5EF4-FFF2-40B4-BE49-F238E27FC236}">
              <a16:creationId xmlns:a16="http://schemas.microsoft.com/office/drawing/2014/main" id="{46931A4D-5E55-463F-AC6C-193F392BDC7E}"/>
            </a:ext>
          </a:extLst>
        </xdr:cNvPr>
        <xdr:cNvSpPr/>
      </xdr:nvSpPr>
      <xdr:spPr>
        <a:xfrm>
          <a:off x="7791450" y="9220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562" name="Shape 4">
          <a:extLst>
            <a:ext uri="{FF2B5EF4-FFF2-40B4-BE49-F238E27FC236}">
              <a16:creationId xmlns:a16="http://schemas.microsoft.com/office/drawing/2014/main" id="{E7DCB478-EEFE-4E52-8B21-D47B7DC01B37}"/>
            </a:ext>
          </a:extLst>
        </xdr:cNvPr>
        <xdr:cNvSpPr/>
      </xdr:nvSpPr>
      <xdr:spPr>
        <a:xfrm>
          <a:off x="7791450" y="9220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63" name="Shape 5">
          <a:extLst>
            <a:ext uri="{FF2B5EF4-FFF2-40B4-BE49-F238E27FC236}">
              <a16:creationId xmlns:a16="http://schemas.microsoft.com/office/drawing/2014/main" id="{A7453B3A-7C7A-4442-9991-B879A17E933A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64" name="Shape 5">
          <a:extLst>
            <a:ext uri="{FF2B5EF4-FFF2-40B4-BE49-F238E27FC236}">
              <a16:creationId xmlns:a16="http://schemas.microsoft.com/office/drawing/2014/main" id="{85F6EE43-EB70-46AD-B135-F715FD549583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65" name="Shape 5">
          <a:extLst>
            <a:ext uri="{FF2B5EF4-FFF2-40B4-BE49-F238E27FC236}">
              <a16:creationId xmlns:a16="http://schemas.microsoft.com/office/drawing/2014/main" id="{A82DCD5B-7336-4134-949F-3DCCC96A1785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66" name="Shape 5">
          <a:extLst>
            <a:ext uri="{FF2B5EF4-FFF2-40B4-BE49-F238E27FC236}">
              <a16:creationId xmlns:a16="http://schemas.microsoft.com/office/drawing/2014/main" id="{9D26B939-BDBD-4058-910D-AB028185EE2B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67" name="Shape 5">
          <a:extLst>
            <a:ext uri="{FF2B5EF4-FFF2-40B4-BE49-F238E27FC236}">
              <a16:creationId xmlns:a16="http://schemas.microsoft.com/office/drawing/2014/main" id="{DAABACC3-4EC6-425A-9953-071F368145AB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F28218C6-41CB-49DE-9BF6-7CDAD8BE8E89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69" name="Shape 5">
          <a:extLst>
            <a:ext uri="{FF2B5EF4-FFF2-40B4-BE49-F238E27FC236}">
              <a16:creationId xmlns:a16="http://schemas.microsoft.com/office/drawing/2014/main" id="{204A2FF8-38E1-4914-8B54-5EB62D146FD0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570" name="Shape 4">
          <a:extLst>
            <a:ext uri="{FF2B5EF4-FFF2-40B4-BE49-F238E27FC236}">
              <a16:creationId xmlns:a16="http://schemas.microsoft.com/office/drawing/2014/main" id="{84F6A84A-DBE8-4DE8-8D03-E39851D013DC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71" name="Shape 6">
          <a:extLst>
            <a:ext uri="{FF2B5EF4-FFF2-40B4-BE49-F238E27FC236}">
              <a16:creationId xmlns:a16="http://schemas.microsoft.com/office/drawing/2014/main" id="{50882E10-170B-45E0-BACC-9BDF20EBCD6D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72" name="Shape 6">
          <a:extLst>
            <a:ext uri="{FF2B5EF4-FFF2-40B4-BE49-F238E27FC236}">
              <a16:creationId xmlns:a16="http://schemas.microsoft.com/office/drawing/2014/main" id="{FCF566E2-427E-45D9-A757-EFC5B1D6F533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73" name="Shape 6">
          <a:extLst>
            <a:ext uri="{FF2B5EF4-FFF2-40B4-BE49-F238E27FC236}">
              <a16:creationId xmlns:a16="http://schemas.microsoft.com/office/drawing/2014/main" id="{6BD7CB14-DB10-4034-A20B-6E5D1460B133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74" name="Shape 6">
          <a:extLst>
            <a:ext uri="{FF2B5EF4-FFF2-40B4-BE49-F238E27FC236}">
              <a16:creationId xmlns:a16="http://schemas.microsoft.com/office/drawing/2014/main" id="{E39F9D21-45CD-42BA-88BD-BDA6EF236EEC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75" name="Shape 6">
          <a:extLst>
            <a:ext uri="{FF2B5EF4-FFF2-40B4-BE49-F238E27FC236}">
              <a16:creationId xmlns:a16="http://schemas.microsoft.com/office/drawing/2014/main" id="{9CB7DD97-2A88-497E-B4B1-FA391E2F9FDC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76" name="Shape 6">
          <a:extLst>
            <a:ext uri="{FF2B5EF4-FFF2-40B4-BE49-F238E27FC236}">
              <a16:creationId xmlns:a16="http://schemas.microsoft.com/office/drawing/2014/main" id="{CCA1F812-6F78-4CF2-B838-8EA501C01F0B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77" name="Shape 6">
          <a:extLst>
            <a:ext uri="{FF2B5EF4-FFF2-40B4-BE49-F238E27FC236}">
              <a16:creationId xmlns:a16="http://schemas.microsoft.com/office/drawing/2014/main" id="{C7A231F8-0E89-465A-A63F-12C0969C2D84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78" name="Shape 6">
          <a:extLst>
            <a:ext uri="{FF2B5EF4-FFF2-40B4-BE49-F238E27FC236}">
              <a16:creationId xmlns:a16="http://schemas.microsoft.com/office/drawing/2014/main" id="{38CE2C9D-7DD1-44DD-95E6-781F30CEEE03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79" name="Shape 6">
          <a:extLst>
            <a:ext uri="{FF2B5EF4-FFF2-40B4-BE49-F238E27FC236}">
              <a16:creationId xmlns:a16="http://schemas.microsoft.com/office/drawing/2014/main" id="{13524FA1-BAE1-493F-BE29-35BE193413CE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80" name="Shape 5">
          <a:extLst>
            <a:ext uri="{FF2B5EF4-FFF2-40B4-BE49-F238E27FC236}">
              <a16:creationId xmlns:a16="http://schemas.microsoft.com/office/drawing/2014/main" id="{87471C82-F340-45BF-B36C-6DE084EA6360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81" name="Shape 5">
          <a:extLst>
            <a:ext uri="{FF2B5EF4-FFF2-40B4-BE49-F238E27FC236}">
              <a16:creationId xmlns:a16="http://schemas.microsoft.com/office/drawing/2014/main" id="{23F70BB2-7865-4AF6-AB14-92D7C08E6384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82" name="Shape 5">
          <a:extLst>
            <a:ext uri="{FF2B5EF4-FFF2-40B4-BE49-F238E27FC236}">
              <a16:creationId xmlns:a16="http://schemas.microsoft.com/office/drawing/2014/main" id="{52E0A56C-210C-449C-A7C7-62A1366EB273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83" name="Shape 5">
          <a:extLst>
            <a:ext uri="{FF2B5EF4-FFF2-40B4-BE49-F238E27FC236}">
              <a16:creationId xmlns:a16="http://schemas.microsoft.com/office/drawing/2014/main" id="{C942F0BD-A8F8-4F17-B347-A02B402BA97B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84" name="Shape 5">
          <a:extLst>
            <a:ext uri="{FF2B5EF4-FFF2-40B4-BE49-F238E27FC236}">
              <a16:creationId xmlns:a16="http://schemas.microsoft.com/office/drawing/2014/main" id="{3A9CD69B-3F07-45AE-AA4A-3D84B4E5CD7E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85" name="Shape 5">
          <a:extLst>
            <a:ext uri="{FF2B5EF4-FFF2-40B4-BE49-F238E27FC236}">
              <a16:creationId xmlns:a16="http://schemas.microsoft.com/office/drawing/2014/main" id="{6F587770-4A85-460F-A409-D78BD4FDA8C2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86" name="Shape 5">
          <a:extLst>
            <a:ext uri="{FF2B5EF4-FFF2-40B4-BE49-F238E27FC236}">
              <a16:creationId xmlns:a16="http://schemas.microsoft.com/office/drawing/2014/main" id="{EE3E1ED2-5702-42FD-A68C-49417FE1DEA4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87" name="Shape 5">
          <a:extLst>
            <a:ext uri="{FF2B5EF4-FFF2-40B4-BE49-F238E27FC236}">
              <a16:creationId xmlns:a16="http://schemas.microsoft.com/office/drawing/2014/main" id="{2E3757EF-CEAF-47FB-9E1E-D2FD2D629DCB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88" name="Shape 6">
          <a:extLst>
            <a:ext uri="{FF2B5EF4-FFF2-40B4-BE49-F238E27FC236}">
              <a16:creationId xmlns:a16="http://schemas.microsoft.com/office/drawing/2014/main" id="{B089C736-614F-4A12-BC87-C11A2DCBE6C2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89" name="Shape 6">
          <a:extLst>
            <a:ext uri="{FF2B5EF4-FFF2-40B4-BE49-F238E27FC236}">
              <a16:creationId xmlns:a16="http://schemas.microsoft.com/office/drawing/2014/main" id="{A7C5E738-F443-4EF3-BC4B-E64EF9E227F7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90" name="Shape 6">
          <a:extLst>
            <a:ext uri="{FF2B5EF4-FFF2-40B4-BE49-F238E27FC236}">
              <a16:creationId xmlns:a16="http://schemas.microsoft.com/office/drawing/2014/main" id="{C75F1900-C224-487A-8C8F-5E253F7C6DB1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91" name="Shape 6">
          <a:extLst>
            <a:ext uri="{FF2B5EF4-FFF2-40B4-BE49-F238E27FC236}">
              <a16:creationId xmlns:a16="http://schemas.microsoft.com/office/drawing/2014/main" id="{91CF8682-205F-40E0-9635-9AD8B977AFF0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92" name="Shape 6">
          <a:extLst>
            <a:ext uri="{FF2B5EF4-FFF2-40B4-BE49-F238E27FC236}">
              <a16:creationId xmlns:a16="http://schemas.microsoft.com/office/drawing/2014/main" id="{8DEB4B56-B39C-4E4C-9990-F33999C4AE17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593" name="Shape 7">
          <a:extLst>
            <a:ext uri="{FF2B5EF4-FFF2-40B4-BE49-F238E27FC236}">
              <a16:creationId xmlns:a16="http://schemas.microsoft.com/office/drawing/2014/main" id="{9FCAB501-CBEB-4BA7-B90A-4108CB400835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94" name="Shape 6">
          <a:extLst>
            <a:ext uri="{FF2B5EF4-FFF2-40B4-BE49-F238E27FC236}">
              <a16:creationId xmlns:a16="http://schemas.microsoft.com/office/drawing/2014/main" id="{D61527B5-7ACC-4527-90EB-ADC029E9F6C7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595" name="Shape 7">
          <a:extLst>
            <a:ext uri="{FF2B5EF4-FFF2-40B4-BE49-F238E27FC236}">
              <a16:creationId xmlns:a16="http://schemas.microsoft.com/office/drawing/2014/main" id="{C8312B18-DF21-4C5E-8298-7DC939E60CDC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28575" cy="9525"/>
    <xdr:sp macro="" textlink="">
      <xdr:nvSpPr>
        <xdr:cNvPr id="596" name="Shape 6">
          <a:extLst>
            <a:ext uri="{FF2B5EF4-FFF2-40B4-BE49-F238E27FC236}">
              <a16:creationId xmlns:a16="http://schemas.microsoft.com/office/drawing/2014/main" id="{B94284E8-529E-45C1-B190-3C4CD55E06AC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97" name="Shape 6">
          <a:extLst>
            <a:ext uri="{FF2B5EF4-FFF2-40B4-BE49-F238E27FC236}">
              <a16:creationId xmlns:a16="http://schemas.microsoft.com/office/drawing/2014/main" id="{1A6342DA-599D-46BF-8EA0-14AE84E6D66F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98" name="Shape 6">
          <a:extLst>
            <a:ext uri="{FF2B5EF4-FFF2-40B4-BE49-F238E27FC236}">
              <a16:creationId xmlns:a16="http://schemas.microsoft.com/office/drawing/2014/main" id="{4DAAE51D-AFEB-408B-9758-B80681424AFA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599" name="Shape 6">
          <a:extLst>
            <a:ext uri="{FF2B5EF4-FFF2-40B4-BE49-F238E27FC236}">
              <a16:creationId xmlns:a16="http://schemas.microsoft.com/office/drawing/2014/main" id="{D64D0E90-3B97-40BE-8A3D-ABA540E7BB7B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00" name="Shape 6">
          <a:extLst>
            <a:ext uri="{FF2B5EF4-FFF2-40B4-BE49-F238E27FC236}">
              <a16:creationId xmlns:a16="http://schemas.microsoft.com/office/drawing/2014/main" id="{90B75C60-1E77-4A03-BEFB-2FA5D4ACE18B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01" name="Shape 6">
          <a:extLst>
            <a:ext uri="{FF2B5EF4-FFF2-40B4-BE49-F238E27FC236}">
              <a16:creationId xmlns:a16="http://schemas.microsoft.com/office/drawing/2014/main" id="{9770A805-62E7-415A-8681-457AD28F571C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02" name="Shape 5">
          <a:extLst>
            <a:ext uri="{FF2B5EF4-FFF2-40B4-BE49-F238E27FC236}">
              <a16:creationId xmlns:a16="http://schemas.microsoft.com/office/drawing/2014/main" id="{AEC1559F-FDBD-4BD6-BEB2-3A8CD985C1DF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03" name="Shape 5">
          <a:extLst>
            <a:ext uri="{FF2B5EF4-FFF2-40B4-BE49-F238E27FC236}">
              <a16:creationId xmlns:a16="http://schemas.microsoft.com/office/drawing/2014/main" id="{0A4E4127-31E4-4741-B39C-A793D2267F4A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04" name="Shape 5">
          <a:extLst>
            <a:ext uri="{FF2B5EF4-FFF2-40B4-BE49-F238E27FC236}">
              <a16:creationId xmlns:a16="http://schemas.microsoft.com/office/drawing/2014/main" id="{26AB3228-39FE-4451-A3D2-42D282F1666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05" name="Shape 5">
          <a:extLst>
            <a:ext uri="{FF2B5EF4-FFF2-40B4-BE49-F238E27FC236}">
              <a16:creationId xmlns:a16="http://schemas.microsoft.com/office/drawing/2014/main" id="{A4968A4F-8911-465A-93CE-3CC60420E714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06" name="Shape 5">
          <a:extLst>
            <a:ext uri="{FF2B5EF4-FFF2-40B4-BE49-F238E27FC236}">
              <a16:creationId xmlns:a16="http://schemas.microsoft.com/office/drawing/2014/main" id="{C8BFCB1E-0F9B-4F98-A9C9-AFC4A0804541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607" name="Shape 4">
          <a:extLst>
            <a:ext uri="{FF2B5EF4-FFF2-40B4-BE49-F238E27FC236}">
              <a16:creationId xmlns:a16="http://schemas.microsoft.com/office/drawing/2014/main" id="{B985A25B-9D00-4D54-838A-D3DCC9AD1C03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08" name="Shape 5">
          <a:extLst>
            <a:ext uri="{FF2B5EF4-FFF2-40B4-BE49-F238E27FC236}">
              <a16:creationId xmlns:a16="http://schemas.microsoft.com/office/drawing/2014/main" id="{04DC2112-F01E-4D7B-AE5F-316F5E1DCA6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609" name="Shape 4">
          <a:extLst>
            <a:ext uri="{FF2B5EF4-FFF2-40B4-BE49-F238E27FC236}">
              <a16:creationId xmlns:a16="http://schemas.microsoft.com/office/drawing/2014/main" id="{36C986A8-2DC0-4DA6-A406-312B095FF044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0" name="Shape 5">
          <a:extLst>
            <a:ext uri="{FF2B5EF4-FFF2-40B4-BE49-F238E27FC236}">
              <a16:creationId xmlns:a16="http://schemas.microsoft.com/office/drawing/2014/main" id="{B7777705-2CC8-4484-8988-17D753AF3F8D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1" name="Shape 5">
          <a:extLst>
            <a:ext uri="{FF2B5EF4-FFF2-40B4-BE49-F238E27FC236}">
              <a16:creationId xmlns:a16="http://schemas.microsoft.com/office/drawing/2014/main" id="{6F33CDAB-C20C-4E12-8EC6-F90D4EF1717A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2" name="Shape 5">
          <a:extLst>
            <a:ext uri="{FF2B5EF4-FFF2-40B4-BE49-F238E27FC236}">
              <a16:creationId xmlns:a16="http://schemas.microsoft.com/office/drawing/2014/main" id="{60C257AE-2BC3-4226-8A09-1074D3258C91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3" name="Shape 5">
          <a:extLst>
            <a:ext uri="{FF2B5EF4-FFF2-40B4-BE49-F238E27FC236}">
              <a16:creationId xmlns:a16="http://schemas.microsoft.com/office/drawing/2014/main" id="{7466CF84-9159-40B8-B0F8-12A43D2D9767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4" name="Shape 5">
          <a:extLst>
            <a:ext uri="{FF2B5EF4-FFF2-40B4-BE49-F238E27FC236}">
              <a16:creationId xmlns:a16="http://schemas.microsoft.com/office/drawing/2014/main" id="{AB157BDB-3845-44AA-B534-610553EF65BF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5" name="Shape 5">
          <a:extLst>
            <a:ext uri="{FF2B5EF4-FFF2-40B4-BE49-F238E27FC236}">
              <a16:creationId xmlns:a16="http://schemas.microsoft.com/office/drawing/2014/main" id="{1627BF74-26F0-4F64-8A6D-E6D1717341B5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6" name="Shape 5">
          <a:extLst>
            <a:ext uri="{FF2B5EF4-FFF2-40B4-BE49-F238E27FC236}">
              <a16:creationId xmlns:a16="http://schemas.microsoft.com/office/drawing/2014/main" id="{1976AB8C-0DD0-488D-BE5C-30D6DF9CA1D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7" name="Shape 5">
          <a:extLst>
            <a:ext uri="{FF2B5EF4-FFF2-40B4-BE49-F238E27FC236}">
              <a16:creationId xmlns:a16="http://schemas.microsoft.com/office/drawing/2014/main" id="{303F10C2-10D9-4719-A8B0-0B191DF8BA01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8" name="Shape 5">
          <a:extLst>
            <a:ext uri="{FF2B5EF4-FFF2-40B4-BE49-F238E27FC236}">
              <a16:creationId xmlns:a16="http://schemas.microsoft.com/office/drawing/2014/main" id="{85FE5D3F-08F6-494B-9B1C-61C869698504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19" name="Shape 5">
          <a:extLst>
            <a:ext uri="{FF2B5EF4-FFF2-40B4-BE49-F238E27FC236}">
              <a16:creationId xmlns:a16="http://schemas.microsoft.com/office/drawing/2014/main" id="{B5141329-24C6-47BA-8DE3-D236456CD286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167</xdr:row>
      <xdr:rowOff>0</xdr:rowOff>
    </xdr:from>
    <xdr:ext cx="38100" cy="9525"/>
    <xdr:sp macro="" textlink="">
      <xdr:nvSpPr>
        <xdr:cNvPr id="620" name="Shape 5">
          <a:extLst>
            <a:ext uri="{FF2B5EF4-FFF2-40B4-BE49-F238E27FC236}">
              <a16:creationId xmlns:a16="http://schemas.microsoft.com/office/drawing/2014/main" id="{5713DA0E-4655-42A9-A429-9456617834A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168</xdr:row>
      <xdr:rowOff>0</xdr:rowOff>
    </xdr:from>
    <xdr:ext cx="38100" cy="9525"/>
    <xdr:sp macro="" textlink="">
      <xdr:nvSpPr>
        <xdr:cNvPr id="621" name="Shape 4">
          <a:extLst>
            <a:ext uri="{FF2B5EF4-FFF2-40B4-BE49-F238E27FC236}">
              <a16:creationId xmlns:a16="http://schemas.microsoft.com/office/drawing/2014/main" id="{DA14A8DF-3489-490B-8769-BF5ECACA927A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168</xdr:row>
      <xdr:rowOff>0</xdr:rowOff>
    </xdr:from>
    <xdr:ext cx="38100" cy="9525"/>
    <xdr:sp macro="" textlink="">
      <xdr:nvSpPr>
        <xdr:cNvPr id="622" name="Shape 4">
          <a:extLst>
            <a:ext uri="{FF2B5EF4-FFF2-40B4-BE49-F238E27FC236}">
              <a16:creationId xmlns:a16="http://schemas.microsoft.com/office/drawing/2014/main" id="{D6BD54FE-0991-4F75-A164-8EC09FCEC123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168</xdr:row>
      <xdr:rowOff>0</xdr:rowOff>
    </xdr:from>
    <xdr:ext cx="38100" cy="9525"/>
    <xdr:sp macro="" textlink="">
      <xdr:nvSpPr>
        <xdr:cNvPr id="623" name="Shape 7">
          <a:extLst>
            <a:ext uri="{FF2B5EF4-FFF2-40B4-BE49-F238E27FC236}">
              <a16:creationId xmlns:a16="http://schemas.microsoft.com/office/drawing/2014/main" id="{CD24873D-8388-45C2-AB00-323519EDCE3E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168</xdr:row>
      <xdr:rowOff>0</xdr:rowOff>
    </xdr:from>
    <xdr:ext cx="38100" cy="9525"/>
    <xdr:sp macro="" textlink="">
      <xdr:nvSpPr>
        <xdr:cNvPr id="624" name="Shape 7">
          <a:extLst>
            <a:ext uri="{FF2B5EF4-FFF2-40B4-BE49-F238E27FC236}">
              <a16:creationId xmlns:a16="http://schemas.microsoft.com/office/drawing/2014/main" id="{DA8306F2-B03F-4D11-B7C9-8754C0CE16A8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168</xdr:row>
      <xdr:rowOff>0</xdr:rowOff>
    </xdr:from>
    <xdr:ext cx="38100" cy="9525"/>
    <xdr:sp macro="" textlink="">
      <xdr:nvSpPr>
        <xdr:cNvPr id="625" name="Shape 4">
          <a:extLst>
            <a:ext uri="{FF2B5EF4-FFF2-40B4-BE49-F238E27FC236}">
              <a16:creationId xmlns:a16="http://schemas.microsoft.com/office/drawing/2014/main" id="{2C9B6BC1-FE9A-4AA3-B64D-656FBD9CC301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168</xdr:row>
      <xdr:rowOff>0</xdr:rowOff>
    </xdr:from>
    <xdr:ext cx="38100" cy="9525"/>
    <xdr:sp macro="" textlink="">
      <xdr:nvSpPr>
        <xdr:cNvPr id="626" name="Shape 4">
          <a:extLst>
            <a:ext uri="{FF2B5EF4-FFF2-40B4-BE49-F238E27FC236}">
              <a16:creationId xmlns:a16="http://schemas.microsoft.com/office/drawing/2014/main" id="{B65CC54A-C739-47CB-A656-FA9050B3E10A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627" name="Shape 4">
          <a:extLst>
            <a:ext uri="{FF2B5EF4-FFF2-40B4-BE49-F238E27FC236}">
              <a16:creationId xmlns:a16="http://schemas.microsoft.com/office/drawing/2014/main" id="{50C7D7A8-B0F9-43D6-80ED-D911A854FD44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628" name="Shape 4">
          <a:extLst>
            <a:ext uri="{FF2B5EF4-FFF2-40B4-BE49-F238E27FC236}">
              <a16:creationId xmlns:a16="http://schemas.microsoft.com/office/drawing/2014/main" id="{781127D9-F63F-4595-9342-FF55A5FEFDD8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629" name="Shape 7">
          <a:extLst>
            <a:ext uri="{FF2B5EF4-FFF2-40B4-BE49-F238E27FC236}">
              <a16:creationId xmlns:a16="http://schemas.microsoft.com/office/drawing/2014/main" id="{13670CE6-03DE-4077-AD80-DA194536E96D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630" name="Shape 7">
          <a:extLst>
            <a:ext uri="{FF2B5EF4-FFF2-40B4-BE49-F238E27FC236}">
              <a16:creationId xmlns:a16="http://schemas.microsoft.com/office/drawing/2014/main" id="{52080F37-73FC-4FB1-B4A1-3C33532D684E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631" name="Shape 4">
          <a:extLst>
            <a:ext uri="{FF2B5EF4-FFF2-40B4-BE49-F238E27FC236}">
              <a16:creationId xmlns:a16="http://schemas.microsoft.com/office/drawing/2014/main" id="{5CEEBCF0-6208-4848-B4C9-605BEEFDCB42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167</xdr:row>
      <xdr:rowOff>0</xdr:rowOff>
    </xdr:from>
    <xdr:ext cx="38100" cy="9525"/>
    <xdr:sp macro="" textlink="">
      <xdr:nvSpPr>
        <xdr:cNvPr id="632" name="Shape 4">
          <a:extLst>
            <a:ext uri="{FF2B5EF4-FFF2-40B4-BE49-F238E27FC236}">
              <a16:creationId xmlns:a16="http://schemas.microsoft.com/office/drawing/2014/main" id="{9D7B2628-D83E-4D1F-8FFD-B58F040BCDC7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33" name="Shape 5">
          <a:extLst>
            <a:ext uri="{FF2B5EF4-FFF2-40B4-BE49-F238E27FC236}">
              <a16:creationId xmlns:a16="http://schemas.microsoft.com/office/drawing/2014/main" id="{060EB633-E23D-4C00-9802-DB2B93B3C16E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34" name="Shape 5">
          <a:extLst>
            <a:ext uri="{FF2B5EF4-FFF2-40B4-BE49-F238E27FC236}">
              <a16:creationId xmlns:a16="http://schemas.microsoft.com/office/drawing/2014/main" id="{AE0531CC-2289-4B81-BDFF-60D6E26BA3BC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35" name="Shape 5">
          <a:extLst>
            <a:ext uri="{FF2B5EF4-FFF2-40B4-BE49-F238E27FC236}">
              <a16:creationId xmlns:a16="http://schemas.microsoft.com/office/drawing/2014/main" id="{5CF589EF-B494-4DD0-B34C-3D4429CED8EA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36" name="Shape 5">
          <a:extLst>
            <a:ext uri="{FF2B5EF4-FFF2-40B4-BE49-F238E27FC236}">
              <a16:creationId xmlns:a16="http://schemas.microsoft.com/office/drawing/2014/main" id="{082B9F39-1310-4F0F-BB3F-3C32CDD94E86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37" name="Shape 5">
          <a:extLst>
            <a:ext uri="{FF2B5EF4-FFF2-40B4-BE49-F238E27FC236}">
              <a16:creationId xmlns:a16="http://schemas.microsoft.com/office/drawing/2014/main" id="{C3AE2D31-A54D-491A-9CCB-EE9C7736F183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638" name="Shape 4">
          <a:extLst>
            <a:ext uri="{FF2B5EF4-FFF2-40B4-BE49-F238E27FC236}">
              <a16:creationId xmlns:a16="http://schemas.microsoft.com/office/drawing/2014/main" id="{2A55AF01-C9D6-4AE6-BC27-08198ADF3E1D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39" name="Shape 5">
          <a:extLst>
            <a:ext uri="{FF2B5EF4-FFF2-40B4-BE49-F238E27FC236}">
              <a16:creationId xmlns:a16="http://schemas.microsoft.com/office/drawing/2014/main" id="{3D5F9BD5-7851-4AFF-B640-E956E3F75337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640" name="Shape 4">
          <a:extLst>
            <a:ext uri="{FF2B5EF4-FFF2-40B4-BE49-F238E27FC236}">
              <a16:creationId xmlns:a16="http://schemas.microsoft.com/office/drawing/2014/main" id="{448511C4-ED1A-4E4C-A194-FC5B4959A233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41" name="Shape 6">
          <a:extLst>
            <a:ext uri="{FF2B5EF4-FFF2-40B4-BE49-F238E27FC236}">
              <a16:creationId xmlns:a16="http://schemas.microsoft.com/office/drawing/2014/main" id="{B510ACFC-E1D8-4A1D-A30D-4DFCB4368E60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42" name="Shape 6">
          <a:extLst>
            <a:ext uri="{FF2B5EF4-FFF2-40B4-BE49-F238E27FC236}">
              <a16:creationId xmlns:a16="http://schemas.microsoft.com/office/drawing/2014/main" id="{D99461B7-7273-4AF6-BC3E-F1E06E3A380F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43" name="Shape 6">
          <a:extLst>
            <a:ext uri="{FF2B5EF4-FFF2-40B4-BE49-F238E27FC236}">
              <a16:creationId xmlns:a16="http://schemas.microsoft.com/office/drawing/2014/main" id="{6A1AA471-6911-45B7-A9F1-0025FD5AE38F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44" name="Shape 6">
          <a:extLst>
            <a:ext uri="{FF2B5EF4-FFF2-40B4-BE49-F238E27FC236}">
              <a16:creationId xmlns:a16="http://schemas.microsoft.com/office/drawing/2014/main" id="{94D5DE42-654C-4D41-9067-DCC370F22448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45" name="Shape 6">
          <a:extLst>
            <a:ext uri="{FF2B5EF4-FFF2-40B4-BE49-F238E27FC236}">
              <a16:creationId xmlns:a16="http://schemas.microsoft.com/office/drawing/2014/main" id="{BF32B06F-491C-40A8-8CD1-B0F263441155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46" name="Shape 6">
          <a:extLst>
            <a:ext uri="{FF2B5EF4-FFF2-40B4-BE49-F238E27FC236}">
              <a16:creationId xmlns:a16="http://schemas.microsoft.com/office/drawing/2014/main" id="{976A4F69-5D48-4FB2-952B-3194512C7B35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47" name="Shape 6">
          <a:extLst>
            <a:ext uri="{FF2B5EF4-FFF2-40B4-BE49-F238E27FC236}">
              <a16:creationId xmlns:a16="http://schemas.microsoft.com/office/drawing/2014/main" id="{5852C4B1-DCCA-45EA-B13D-8F8D38E6D8FF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48" name="Shape 6">
          <a:extLst>
            <a:ext uri="{FF2B5EF4-FFF2-40B4-BE49-F238E27FC236}">
              <a16:creationId xmlns:a16="http://schemas.microsoft.com/office/drawing/2014/main" id="{13D0E61D-3FB0-4393-AF46-AF851EE2C633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49" name="Shape 6">
          <a:extLst>
            <a:ext uri="{FF2B5EF4-FFF2-40B4-BE49-F238E27FC236}">
              <a16:creationId xmlns:a16="http://schemas.microsoft.com/office/drawing/2014/main" id="{2780F819-D2DA-4E17-BBCB-D8490D99FF0C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50" name="Shape 5">
          <a:extLst>
            <a:ext uri="{FF2B5EF4-FFF2-40B4-BE49-F238E27FC236}">
              <a16:creationId xmlns:a16="http://schemas.microsoft.com/office/drawing/2014/main" id="{2B91499A-0F18-4206-9860-3A68C117C533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51" name="Shape 5">
          <a:extLst>
            <a:ext uri="{FF2B5EF4-FFF2-40B4-BE49-F238E27FC236}">
              <a16:creationId xmlns:a16="http://schemas.microsoft.com/office/drawing/2014/main" id="{9AC1DEBB-0CC2-4B3B-B85E-D581818C1007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52" name="Shape 5">
          <a:extLst>
            <a:ext uri="{FF2B5EF4-FFF2-40B4-BE49-F238E27FC236}">
              <a16:creationId xmlns:a16="http://schemas.microsoft.com/office/drawing/2014/main" id="{EF5C0874-79FE-4AF9-B437-1771EF52EED1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53" name="Shape 5">
          <a:extLst>
            <a:ext uri="{FF2B5EF4-FFF2-40B4-BE49-F238E27FC236}">
              <a16:creationId xmlns:a16="http://schemas.microsoft.com/office/drawing/2014/main" id="{8B73283C-8E86-48FA-8643-8EBF5C0C015C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54" name="Shape 5">
          <a:extLst>
            <a:ext uri="{FF2B5EF4-FFF2-40B4-BE49-F238E27FC236}">
              <a16:creationId xmlns:a16="http://schemas.microsoft.com/office/drawing/2014/main" id="{58DFAC28-FB45-4C93-A44C-FAB2F0959B11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55" name="Shape 5">
          <a:extLst>
            <a:ext uri="{FF2B5EF4-FFF2-40B4-BE49-F238E27FC236}">
              <a16:creationId xmlns:a16="http://schemas.microsoft.com/office/drawing/2014/main" id="{8EE30F99-B94E-4B66-A571-15BAAB3E393A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56" name="Shape 5">
          <a:extLst>
            <a:ext uri="{FF2B5EF4-FFF2-40B4-BE49-F238E27FC236}">
              <a16:creationId xmlns:a16="http://schemas.microsoft.com/office/drawing/2014/main" id="{AE591A6F-4ACF-43D2-B0D1-8B16DC8A806B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57" name="Shape 5">
          <a:extLst>
            <a:ext uri="{FF2B5EF4-FFF2-40B4-BE49-F238E27FC236}">
              <a16:creationId xmlns:a16="http://schemas.microsoft.com/office/drawing/2014/main" id="{A9C7DD72-A14E-43C9-AC80-0D37530610E9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58" name="Shape 6">
          <a:extLst>
            <a:ext uri="{FF2B5EF4-FFF2-40B4-BE49-F238E27FC236}">
              <a16:creationId xmlns:a16="http://schemas.microsoft.com/office/drawing/2014/main" id="{153CA87B-2137-4D96-8C98-C7230FF515E1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59" name="Shape 6">
          <a:extLst>
            <a:ext uri="{FF2B5EF4-FFF2-40B4-BE49-F238E27FC236}">
              <a16:creationId xmlns:a16="http://schemas.microsoft.com/office/drawing/2014/main" id="{45879AFB-CBCC-494B-9456-F2A283A3250D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60" name="Shape 6">
          <a:extLst>
            <a:ext uri="{FF2B5EF4-FFF2-40B4-BE49-F238E27FC236}">
              <a16:creationId xmlns:a16="http://schemas.microsoft.com/office/drawing/2014/main" id="{A1CDF002-C891-47F7-AA5A-BBEF2AF1E375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61" name="Shape 6">
          <a:extLst>
            <a:ext uri="{FF2B5EF4-FFF2-40B4-BE49-F238E27FC236}">
              <a16:creationId xmlns:a16="http://schemas.microsoft.com/office/drawing/2014/main" id="{B32FC407-C48F-4916-8F63-548AA91AA65D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62" name="Shape 6">
          <a:extLst>
            <a:ext uri="{FF2B5EF4-FFF2-40B4-BE49-F238E27FC236}">
              <a16:creationId xmlns:a16="http://schemas.microsoft.com/office/drawing/2014/main" id="{D1E8135B-347E-4525-8FE8-2CF1D72081D8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663" name="Shape 7">
          <a:extLst>
            <a:ext uri="{FF2B5EF4-FFF2-40B4-BE49-F238E27FC236}">
              <a16:creationId xmlns:a16="http://schemas.microsoft.com/office/drawing/2014/main" id="{63F4C441-A45A-4AC1-B51F-6BAF56D1DE56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64" name="Shape 6">
          <a:extLst>
            <a:ext uri="{FF2B5EF4-FFF2-40B4-BE49-F238E27FC236}">
              <a16:creationId xmlns:a16="http://schemas.microsoft.com/office/drawing/2014/main" id="{2A74D20B-AE50-4FC7-9535-2DB8A571ED4B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665" name="Shape 7">
          <a:extLst>
            <a:ext uri="{FF2B5EF4-FFF2-40B4-BE49-F238E27FC236}">
              <a16:creationId xmlns:a16="http://schemas.microsoft.com/office/drawing/2014/main" id="{F969E2CC-B4BC-4E68-8944-5D33ADF578D1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28575" cy="9525"/>
    <xdr:sp macro="" textlink="">
      <xdr:nvSpPr>
        <xdr:cNvPr id="666" name="Shape 6">
          <a:extLst>
            <a:ext uri="{FF2B5EF4-FFF2-40B4-BE49-F238E27FC236}">
              <a16:creationId xmlns:a16="http://schemas.microsoft.com/office/drawing/2014/main" id="{1A0256FB-FE44-4A7B-83E1-7FD4FB2B1839}"/>
            </a:ext>
          </a:extLst>
        </xdr:cNvPr>
        <xdr:cNvSpPr/>
      </xdr:nvSpPr>
      <xdr:spPr>
        <a:xfrm>
          <a:off x="1514475" y="137350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67" name="Shape 6">
          <a:extLst>
            <a:ext uri="{FF2B5EF4-FFF2-40B4-BE49-F238E27FC236}">
              <a16:creationId xmlns:a16="http://schemas.microsoft.com/office/drawing/2014/main" id="{9D16EF7A-E58F-41C9-A7B9-76CDDDC96F1E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68" name="Shape 6">
          <a:extLst>
            <a:ext uri="{FF2B5EF4-FFF2-40B4-BE49-F238E27FC236}">
              <a16:creationId xmlns:a16="http://schemas.microsoft.com/office/drawing/2014/main" id="{C0113D4A-3D66-47CF-A38E-0EC7B7177AE5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69" name="Shape 6">
          <a:extLst>
            <a:ext uri="{FF2B5EF4-FFF2-40B4-BE49-F238E27FC236}">
              <a16:creationId xmlns:a16="http://schemas.microsoft.com/office/drawing/2014/main" id="{D838979C-99FD-47C0-8E1E-3325F2324B3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70" name="Shape 6">
          <a:extLst>
            <a:ext uri="{FF2B5EF4-FFF2-40B4-BE49-F238E27FC236}">
              <a16:creationId xmlns:a16="http://schemas.microsoft.com/office/drawing/2014/main" id="{429F13E8-3CE2-4C64-A871-21E4601DE539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71" name="Shape 6">
          <a:extLst>
            <a:ext uri="{FF2B5EF4-FFF2-40B4-BE49-F238E27FC236}">
              <a16:creationId xmlns:a16="http://schemas.microsoft.com/office/drawing/2014/main" id="{D70C7634-9449-439D-B69A-3BC08B351573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72" name="Shape 5">
          <a:extLst>
            <a:ext uri="{FF2B5EF4-FFF2-40B4-BE49-F238E27FC236}">
              <a16:creationId xmlns:a16="http://schemas.microsoft.com/office/drawing/2014/main" id="{F66D3A9A-AE6C-4C58-B8F4-EE8F37343263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73" name="Shape 5">
          <a:extLst>
            <a:ext uri="{FF2B5EF4-FFF2-40B4-BE49-F238E27FC236}">
              <a16:creationId xmlns:a16="http://schemas.microsoft.com/office/drawing/2014/main" id="{615C20B6-AA61-40B0-B82B-B4A7A205FF5D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74" name="Shape 5">
          <a:extLst>
            <a:ext uri="{FF2B5EF4-FFF2-40B4-BE49-F238E27FC236}">
              <a16:creationId xmlns:a16="http://schemas.microsoft.com/office/drawing/2014/main" id="{25E6F52C-CB26-4C1D-B2F7-F70446BBA087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75" name="Shape 5">
          <a:extLst>
            <a:ext uri="{FF2B5EF4-FFF2-40B4-BE49-F238E27FC236}">
              <a16:creationId xmlns:a16="http://schemas.microsoft.com/office/drawing/2014/main" id="{C6B7F432-0817-431C-AFAE-7D58ADE59582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76" name="Shape 5">
          <a:extLst>
            <a:ext uri="{FF2B5EF4-FFF2-40B4-BE49-F238E27FC236}">
              <a16:creationId xmlns:a16="http://schemas.microsoft.com/office/drawing/2014/main" id="{3A54390A-3A4B-4FC6-8767-5E1E0FB8C402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677" name="Shape 4">
          <a:extLst>
            <a:ext uri="{FF2B5EF4-FFF2-40B4-BE49-F238E27FC236}">
              <a16:creationId xmlns:a16="http://schemas.microsoft.com/office/drawing/2014/main" id="{923EABC0-3CBC-4486-A643-DD9DF1A6A304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78" name="Shape 5">
          <a:extLst>
            <a:ext uri="{FF2B5EF4-FFF2-40B4-BE49-F238E27FC236}">
              <a16:creationId xmlns:a16="http://schemas.microsoft.com/office/drawing/2014/main" id="{64DDF7AC-02D6-4FC1-82C5-6016873B9BDF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679" name="Shape 4">
          <a:extLst>
            <a:ext uri="{FF2B5EF4-FFF2-40B4-BE49-F238E27FC236}">
              <a16:creationId xmlns:a16="http://schemas.microsoft.com/office/drawing/2014/main" id="{B73AB92E-C313-44E1-B02F-40A7F8FC8F80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0" name="Shape 5">
          <a:extLst>
            <a:ext uri="{FF2B5EF4-FFF2-40B4-BE49-F238E27FC236}">
              <a16:creationId xmlns:a16="http://schemas.microsoft.com/office/drawing/2014/main" id="{224093C9-92F9-42DA-92A6-764E36D5CE4E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1" name="Shape 5">
          <a:extLst>
            <a:ext uri="{FF2B5EF4-FFF2-40B4-BE49-F238E27FC236}">
              <a16:creationId xmlns:a16="http://schemas.microsoft.com/office/drawing/2014/main" id="{471AFB61-A544-4D65-80F2-BC77954012B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2" name="Shape 5">
          <a:extLst>
            <a:ext uri="{FF2B5EF4-FFF2-40B4-BE49-F238E27FC236}">
              <a16:creationId xmlns:a16="http://schemas.microsoft.com/office/drawing/2014/main" id="{3398B960-4E68-488E-9B5A-8786AB31394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3" name="Shape 5">
          <a:extLst>
            <a:ext uri="{FF2B5EF4-FFF2-40B4-BE49-F238E27FC236}">
              <a16:creationId xmlns:a16="http://schemas.microsoft.com/office/drawing/2014/main" id="{64AD9207-8DB0-414E-861D-91EC216E773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4" name="Shape 5">
          <a:extLst>
            <a:ext uri="{FF2B5EF4-FFF2-40B4-BE49-F238E27FC236}">
              <a16:creationId xmlns:a16="http://schemas.microsoft.com/office/drawing/2014/main" id="{E6E1949E-E9A9-457F-9B89-A766651A3DB0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5" name="Shape 5">
          <a:extLst>
            <a:ext uri="{FF2B5EF4-FFF2-40B4-BE49-F238E27FC236}">
              <a16:creationId xmlns:a16="http://schemas.microsoft.com/office/drawing/2014/main" id="{992C3B63-8769-4F1A-BC26-50D6328C7D9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6" name="Shape 5">
          <a:extLst>
            <a:ext uri="{FF2B5EF4-FFF2-40B4-BE49-F238E27FC236}">
              <a16:creationId xmlns:a16="http://schemas.microsoft.com/office/drawing/2014/main" id="{518CC7C7-83E6-4885-B72C-0E0F255679C8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7" name="Shape 5">
          <a:extLst>
            <a:ext uri="{FF2B5EF4-FFF2-40B4-BE49-F238E27FC236}">
              <a16:creationId xmlns:a16="http://schemas.microsoft.com/office/drawing/2014/main" id="{0B39F28D-B3D3-489F-A6D8-AC7BF413A667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8" name="Shape 5">
          <a:extLst>
            <a:ext uri="{FF2B5EF4-FFF2-40B4-BE49-F238E27FC236}">
              <a16:creationId xmlns:a16="http://schemas.microsoft.com/office/drawing/2014/main" id="{860C0C20-3016-4FA3-89F1-3BE0E608E5AB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89" name="Shape 5">
          <a:extLst>
            <a:ext uri="{FF2B5EF4-FFF2-40B4-BE49-F238E27FC236}">
              <a16:creationId xmlns:a16="http://schemas.microsoft.com/office/drawing/2014/main" id="{530F4C07-3A17-4B68-8087-6E9F901EB70A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177</xdr:row>
      <xdr:rowOff>0</xdr:rowOff>
    </xdr:from>
    <xdr:ext cx="38100" cy="9525"/>
    <xdr:sp macro="" textlink="">
      <xdr:nvSpPr>
        <xdr:cNvPr id="690" name="Shape 5">
          <a:extLst>
            <a:ext uri="{FF2B5EF4-FFF2-40B4-BE49-F238E27FC236}">
              <a16:creationId xmlns:a16="http://schemas.microsoft.com/office/drawing/2014/main" id="{4A37FA9D-D25C-4199-922B-F88DB805AAF9}"/>
            </a:ext>
          </a:extLst>
        </xdr:cNvPr>
        <xdr:cNvSpPr/>
      </xdr:nvSpPr>
      <xdr:spPr>
        <a:xfrm>
          <a:off x="1514475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178</xdr:row>
      <xdr:rowOff>0</xdr:rowOff>
    </xdr:from>
    <xdr:ext cx="38100" cy="9525"/>
    <xdr:sp macro="" textlink="">
      <xdr:nvSpPr>
        <xdr:cNvPr id="691" name="Shape 4">
          <a:extLst>
            <a:ext uri="{FF2B5EF4-FFF2-40B4-BE49-F238E27FC236}">
              <a16:creationId xmlns:a16="http://schemas.microsoft.com/office/drawing/2014/main" id="{5DA00457-BE66-41C7-ACF1-D3F5092EA5D0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178</xdr:row>
      <xdr:rowOff>0</xdr:rowOff>
    </xdr:from>
    <xdr:ext cx="38100" cy="9525"/>
    <xdr:sp macro="" textlink="">
      <xdr:nvSpPr>
        <xdr:cNvPr id="692" name="Shape 4">
          <a:extLst>
            <a:ext uri="{FF2B5EF4-FFF2-40B4-BE49-F238E27FC236}">
              <a16:creationId xmlns:a16="http://schemas.microsoft.com/office/drawing/2014/main" id="{EAF78168-6393-4DD6-B26E-BCEC887455C7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178</xdr:row>
      <xdr:rowOff>0</xdr:rowOff>
    </xdr:from>
    <xdr:ext cx="38100" cy="9525"/>
    <xdr:sp macro="" textlink="">
      <xdr:nvSpPr>
        <xdr:cNvPr id="693" name="Shape 7">
          <a:extLst>
            <a:ext uri="{FF2B5EF4-FFF2-40B4-BE49-F238E27FC236}">
              <a16:creationId xmlns:a16="http://schemas.microsoft.com/office/drawing/2014/main" id="{5F982684-4136-4011-88CF-AC6A758D4FCE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178</xdr:row>
      <xdr:rowOff>0</xdr:rowOff>
    </xdr:from>
    <xdr:ext cx="38100" cy="9525"/>
    <xdr:sp macro="" textlink="">
      <xdr:nvSpPr>
        <xdr:cNvPr id="694" name="Shape 7">
          <a:extLst>
            <a:ext uri="{FF2B5EF4-FFF2-40B4-BE49-F238E27FC236}">
              <a16:creationId xmlns:a16="http://schemas.microsoft.com/office/drawing/2014/main" id="{B2782977-A9C3-4AE8-884B-8EC6A85F42A3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178</xdr:row>
      <xdr:rowOff>0</xdr:rowOff>
    </xdr:from>
    <xdr:ext cx="38100" cy="9525"/>
    <xdr:sp macro="" textlink="">
      <xdr:nvSpPr>
        <xdr:cNvPr id="695" name="Shape 4">
          <a:extLst>
            <a:ext uri="{FF2B5EF4-FFF2-40B4-BE49-F238E27FC236}">
              <a16:creationId xmlns:a16="http://schemas.microsoft.com/office/drawing/2014/main" id="{9432AD30-9A27-432C-B247-51ADC3F11EF7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178</xdr:row>
      <xdr:rowOff>0</xdr:rowOff>
    </xdr:from>
    <xdr:ext cx="38100" cy="9525"/>
    <xdr:sp macro="" textlink="">
      <xdr:nvSpPr>
        <xdr:cNvPr id="696" name="Shape 4">
          <a:extLst>
            <a:ext uri="{FF2B5EF4-FFF2-40B4-BE49-F238E27FC236}">
              <a16:creationId xmlns:a16="http://schemas.microsoft.com/office/drawing/2014/main" id="{FFC2CDD6-622F-4AD4-88C8-A53A663E751D}"/>
            </a:ext>
          </a:extLst>
        </xdr:cNvPr>
        <xdr:cNvSpPr/>
      </xdr:nvSpPr>
      <xdr:spPr>
        <a:xfrm>
          <a:off x="7791450" y="139255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697" name="Shape 4">
          <a:extLst>
            <a:ext uri="{FF2B5EF4-FFF2-40B4-BE49-F238E27FC236}">
              <a16:creationId xmlns:a16="http://schemas.microsoft.com/office/drawing/2014/main" id="{2C5F1DAF-8ADA-42A5-9F37-C3327027D200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698" name="Shape 4">
          <a:extLst>
            <a:ext uri="{FF2B5EF4-FFF2-40B4-BE49-F238E27FC236}">
              <a16:creationId xmlns:a16="http://schemas.microsoft.com/office/drawing/2014/main" id="{11BBE7FE-ED00-4A8F-BD3A-7BAC52351957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699" name="Shape 7">
          <a:extLst>
            <a:ext uri="{FF2B5EF4-FFF2-40B4-BE49-F238E27FC236}">
              <a16:creationId xmlns:a16="http://schemas.microsoft.com/office/drawing/2014/main" id="{F132DBF9-7C1B-4484-8257-4DBDB8439D6C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700" name="Shape 7">
          <a:extLst>
            <a:ext uri="{FF2B5EF4-FFF2-40B4-BE49-F238E27FC236}">
              <a16:creationId xmlns:a16="http://schemas.microsoft.com/office/drawing/2014/main" id="{4DFD01B4-3527-4C0C-80B6-9E99AD247F92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701" name="Shape 4">
          <a:extLst>
            <a:ext uri="{FF2B5EF4-FFF2-40B4-BE49-F238E27FC236}">
              <a16:creationId xmlns:a16="http://schemas.microsoft.com/office/drawing/2014/main" id="{10DE851F-7D4C-43D7-B7AA-2A0F0CEF2A9D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177</xdr:row>
      <xdr:rowOff>0</xdr:rowOff>
    </xdr:from>
    <xdr:ext cx="38100" cy="9525"/>
    <xdr:sp macro="" textlink="">
      <xdr:nvSpPr>
        <xdr:cNvPr id="702" name="Shape 4">
          <a:extLst>
            <a:ext uri="{FF2B5EF4-FFF2-40B4-BE49-F238E27FC236}">
              <a16:creationId xmlns:a16="http://schemas.microsoft.com/office/drawing/2014/main" id="{EFB7581D-FFCC-42E1-B1CC-0BAE630907D1}"/>
            </a:ext>
          </a:extLst>
        </xdr:cNvPr>
        <xdr:cNvSpPr/>
      </xdr:nvSpPr>
      <xdr:spPr>
        <a:xfrm>
          <a:off x="7791450" y="137350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179</xdr:row>
      <xdr:rowOff>0</xdr:rowOff>
    </xdr:from>
    <xdr:ext cx="38100" cy="9525"/>
    <xdr:sp macro="" textlink="">
      <xdr:nvSpPr>
        <xdr:cNvPr id="811" name="Shape 4">
          <a:extLst>
            <a:ext uri="{FF2B5EF4-FFF2-40B4-BE49-F238E27FC236}">
              <a16:creationId xmlns:a16="http://schemas.microsoft.com/office/drawing/2014/main" id="{8C36E3BB-1057-4900-B59A-0BB016BB84C1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179</xdr:row>
      <xdr:rowOff>0</xdr:rowOff>
    </xdr:from>
    <xdr:ext cx="38100" cy="9525"/>
    <xdr:sp macro="" textlink="">
      <xdr:nvSpPr>
        <xdr:cNvPr id="812" name="Shape 4">
          <a:extLst>
            <a:ext uri="{FF2B5EF4-FFF2-40B4-BE49-F238E27FC236}">
              <a16:creationId xmlns:a16="http://schemas.microsoft.com/office/drawing/2014/main" id="{77EAE51B-91B5-4299-8BAC-3D713D13A4A9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179</xdr:row>
      <xdr:rowOff>0</xdr:rowOff>
    </xdr:from>
    <xdr:ext cx="38100" cy="9525"/>
    <xdr:sp macro="" textlink="">
      <xdr:nvSpPr>
        <xdr:cNvPr id="813" name="Shape 7">
          <a:extLst>
            <a:ext uri="{FF2B5EF4-FFF2-40B4-BE49-F238E27FC236}">
              <a16:creationId xmlns:a16="http://schemas.microsoft.com/office/drawing/2014/main" id="{D81F3D6F-D5A4-45F4-9883-4B60B06FBDB6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179</xdr:row>
      <xdr:rowOff>0</xdr:rowOff>
    </xdr:from>
    <xdr:ext cx="38100" cy="9525"/>
    <xdr:sp macro="" textlink="">
      <xdr:nvSpPr>
        <xdr:cNvPr id="814" name="Shape 7">
          <a:extLst>
            <a:ext uri="{FF2B5EF4-FFF2-40B4-BE49-F238E27FC236}">
              <a16:creationId xmlns:a16="http://schemas.microsoft.com/office/drawing/2014/main" id="{0F21F2C5-65CE-43F5-AA42-997CFF95A436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179</xdr:row>
      <xdr:rowOff>0</xdr:rowOff>
    </xdr:from>
    <xdr:ext cx="38100" cy="9525"/>
    <xdr:sp macro="" textlink="">
      <xdr:nvSpPr>
        <xdr:cNvPr id="815" name="Shape 4">
          <a:extLst>
            <a:ext uri="{FF2B5EF4-FFF2-40B4-BE49-F238E27FC236}">
              <a16:creationId xmlns:a16="http://schemas.microsoft.com/office/drawing/2014/main" id="{6920EDDF-C4A1-4644-A512-63CD4108BB1F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179</xdr:row>
      <xdr:rowOff>0</xdr:rowOff>
    </xdr:from>
    <xdr:ext cx="38100" cy="9525"/>
    <xdr:sp macro="" textlink="">
      <xdr:nvSpPr>
        <xdr:cNvPr id="816" name="Shape 4">
          <a:extLst>
            <a:ext uri="{FF2B5EF4-FFF2-40B4-BE49-F238E27FC236}">
              <a16:creationId xmlns:a16="http://schemas.microsoft.com/office/drawing/2014/main" id="{1CD17ABA-20CD-40AB-B9C9-EC2B311CED95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180</xdr:row>
      <xdr:rowOff>0</xdr:rowOff>
    </xdr:from>
    <xdr:ext cx="38100" cy="9525"/>
    <xdr:sp macro="" textlink="">
      <xdr:nvSpPr>
        <xdr:cNvPr id="817" name="Shape 4">
          <a:extLst>
            <a:ext uri="{FF2B5EF4-FFF2-40B4-BE49-F238E27FC236}">
              <a16:creationId xmlns:a16="http://schemas.microsoft.com/office/drawing/2014/main" id="{E8E90576-76D2-42BC-9244-8D9C68079A5E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180</xdr:row>
      <xdr:rowOff>0</xdr:rowOff>
    </xdr:from>
    <xdr:ext cx="38100" cy="9525"/>
    <xdr:sp macro="" textlink="">
      <xdr:nvSpPr>
        <xdr:cNvPr id="818" name="Shape 4">
          <a:extLst>
            <a:ext uri="{FF2B5EF4-FFF2-40B4-BE49-F238E27FC236}">
              <a16:creationId xmlns:a16="http://schemas.microsoft.com/office/drawing/2014/main" id="{B8B017E5-8008-4B22-B57B-E5B39BD55CA9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180</xdr:row>
      <xdr:rowOff>0</xdr:rowOff>
    </xdr:from>
    <xdr:ext cx="38100" cy="9525"/>
    <xdr:sp macro="" textlink="">
      <xdr:nvSpPr>
        <xdr:cNvPr id="819" name="Shape 7">
          <a:extLst>
            <a:ext uri="{FF2B5EF4-FFF2-40B4-BE49-F238E27FC236}">
              <a16:creationId xmlns:a16="http://schemas.microsoft.com/office/drawing/2014/main" id="{B356B062-435F-4423-AA4B-A946EEF07785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180</xdr:row>
      <xdr:rowOff>0</xdr:rowOff>
    </xdr:from>
    <xdr:ext cx="38100" cy="9525"/>
    <xdr:sp macro="" textlink="">
      <xdr:nvSpPr>
        <xdr:cNvPr id="820" name="Shape 7">
          <a:extLst>
            <a:ext uri="{FF2B5EF4-FFF2-40B4-BE49-F238E27FC236}">
              <a16:creationId xmlns:a16="http://schemas.microsoft.com/office/drawing/2014/main" id="{D3B21090-98E6-4EC9-9A04-E6F1B8C54175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180</xdr:row>
      <xdr:rowOff>0</xdr:rowOff>
    </xdr:from>
    <xdr:ext cx="38100" cy="9525"/>
    <xdr:sp macro="" textlink="">
      <xdr:nvSpPr>
        <xdr:cNvPr id="821" name="Shape 4">
          <a:extLst>
            <a:ext uri="{FF2B5EF4-FFF2-40B4-BE49-F238E27FC236}">
              <a16:creationId xmlns:a16="http://schemas.microsoft.com/office/drawing/2014/main" id="{98E5984E-B43D-4979-9844-B0E2590F45D3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180</xdr:row>
      <xdr:rowOff>0</xdr:rowOff>
    </xdr:from>
    <xdr:ext cx="38100" cy="9525"/>
    <xdr:sp macro="" textlink="">
      <xdr:nvSpPr>
        <xdr:cNvPr id="822" name="Shape 4">
          <a:extLst>
            <a:ext uri="{FF2B5EF4-FFF2-40B4-BE49-F238E27FC236}">
              <a16:creationId xmlns:a16="http://schemas.microsoft.com/office/drawing/2014/main" id="{4856D487-77D6-4FFF-B824-B8F8B66DEE7B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181</xdr:row>
      <xdr:rowOff>0</xdr:rowOff>
    </xdr:from>
    <xdr:ext cx="38100" cy="9525"/>
    <xdr:sp macro="" textlink="">
      <xdr:nvSpPr>
        <xdr:cNvPr id="823" name="Shape 4">
          <a:extLst>
            <a:ext uri="{FF2B5EF4-FFF2-40B4-BE49-F238E27FC236}">
              <a16:creationId xmlns:a16="http://schemas.microsoft.com/office/drawing/2014/main" id="{B187069C-EAF1-4081-B47F-C2AEF90ECAA2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181</xdr:row>
      <xdr:rowOff>0</xdr:rowOff>
    </xdr:from>
    <xdr:ext cx="38100" cy="9525"/>
    <xdr:sp macro="" textlink="">
      <xdr:nvSpPr>
        <xdr:cNvPr id="824" name="Shape 4">
          <a:extLst>
            <a:ext uri="{FF2B5EF4-FFF2-40B4-BE49-F238E27FC236}">
              <a16:creationId xmlns:a16="http://schemas.microsoft.com/office/drawing/2014/main" id="{3CDAD74C-C531-475D-9A00-86F35F475B28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181</xdr:row>
      <xdr:rowOff>0</xdr:rowOff>
    </xdr:from>
    <xdr:ext cx="38100" cy="9525"/>
    <xdr:sp macro="" textlink="">
      <xdr:nvSpPr>
        <xdr:cNvPr id="825" name="Shape 7">
          <a:extLst>
            <a:ext uri="{FF2B5EF4-FFF2-40B4-BE49-F238E27FC236}">
              <a16:creationId xmlns:a16="http://schemas.microsoft.com/office/drawing/2014/main" id="{6188E39E-E588-4F08-9517-831A38594D12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181</xdr:row>
      <xdr:rowOff>0</xdr:rowOff>
    </xdr:from>
    <xdr:ext cx="38100" cy="9525"/>
    <xdr:sp macro="" textlink="">
      <xdr:nvSpPr>
        <xdr:cNvPr id="826" name="Shape 7">
          <a:extLst>
            <a:ext uri="{FF2B5EF4-FFF2-40B4-BE49-F238E27FC236}">
              <a16:creationId xmlns:a16="http://schemas.microsoft.com/office/drawing/2014/main" id="{D6107ABA-D784-4550-88B4-7865DCB40A27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181</xdr:row>
      <xdr:rowOff>0</xdr:rowOff>
    </xdr:from>
    <xdr:ext cx="38100" cy="9525"/>
    <xdr:sp macro="" textlink="">
      <xdr:nvSpPr>
        <xdr:cNvPr id="827" name="Shape 4">
          <a:extLst>
            <a:ext uri="{FF2B5EF4-FFF2-40B4-BE49-F238E27FC236}">
              <a16:creationId xmlns:a16="http://schemas.microsoft.com/office/drawing/2014/main" id="{7AD95594-224B-437F-89B8-835F5338D979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181</xdr:row>
      <xdr:rowOff>0</xdr:rowOff>
    </xdr:from>
    <xdr:ext cx="38100" cy="9525"/>
    <xdr:sp macro="" textlink="">
      <xdr:nvSpPr>
        <xdr:cNvPr id="828" name="Shape 4">
          <a:extLst>
            <a:ext uri="{FF2B5EF4-FFF2-40B4-BE49-F238E27FC236}">
              <a16:creationId xmlns:a16="http://schemas.microsoft.com/office/drawing/2014/main" id="{32EC3C47-A06D-4157-85C9-0A181BCD31AF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182</xdr:row>
      <xdr:rowOff>0</xdr:rowOff>
    </xdr:from>
    <xdr:ext cx="38100" cy="9525"/>
    <xdr:sp macro="" textlink="">
      <xdr:nvSpPr>
        <xdr:cNvPr id="829" name="Shape 4">
          <a:extLst>
            <a:ext uri="{FF2B5EF4-FFF2-40B4-BE49-F238E27FC236}">
              <a16:creationId xmlns:a16="http://schemas.microsoft.com/office/drawing/2014/main" id="{B0BCDD07-11DC-484C-8962-353EC43731A9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182</xdr:row>
      <xdr:rowOff>0</xdr:rowOff>
    </xdr:from>
    <xdr:ext cx="38100" cy="9525"/>
    <xdr:sp macro="" textlink="">
      <xdr:nvSpPr>
        <xdr:cNvPr id="830" name="Shape 4">
          <a:extLst>
            <a:ext uri="{FF2B5EF4-FFF2-40B4-BE49-F238E27FC236}">
              <a16:creationId xmlns:a16="http://schemas.microsoft.com/office/drawing/2014/main" id="{3572305C-68BB-4088-B1EA-11B519CF32CF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182</xdr:row>
      <xdr:rowOff>0</xdr:rowOff>
    </xdr:from>
    <xdr:ext cx="38100" cy="9525"/>
    <xdr:sp macro="" textlink="">
      <xdr:nvSpPr>
        <xdr:cNvPr id="831" name="Shape 7">
          <a:extLst>
            <a:ext uri="{FF2B5EF4-FFF2-40B4-BE49-F238E27FC236}">
              <a16:creationId xmlns:a16="http://schemas.microsoft.com/office/drawing/2014/main" id="{C2704374-7C0B-4636-8599-4EEFF6D44B4C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182</xdr:row>
      <xdr:rowOff>0</xdr:rowOff>
    </xdr:from>
    <xdr:ext cx="38100" cy="9525"/>
    <xdr:sp macro="" textlink="">
      <xdr:nvSpPr>
        <xdr:cNvPr id="832" name="Shape 7">
          <a:extLst>
            <a:ext uri="{FF2B5EF4-FFF2-40B4-BE49-F238E27FC236}">
              <a16:creationId xmlns:a16="http://schemas.microsoft.com/office/drawing/2014/main" id="{26EABDDA-B2A9-4D37-B2CD-E64131C2BEA8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182</xdr:row>
      <xdr:rowOff>0</xdr:rowOff>
    </xdr:from>
    <xdr:ext cx="38100" cy="9525"/>
    <xdr:sp macro="" textlink="">
      <xdr:nvSpPr>
        <xdr:cNvPr id="833" name="Shape 4">
          <a:extLst>
            <a:ext uri="{FF2B5EF4-FFF2-40B4-BE49-F238E27FC236}">
              <a16:creationId xmlns:a16="http://schemas.microsoft.com/office/drawing/2014/main" id="{700DCF92-4189-48CC-8378-DECDFD9C8B4D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182</xdr:row>
      <xdr:rowOff>0</xdr:rowOff>
    </xdr:from>
    <xdr:ext cx="38100" cy="9525"/>
    <xdr:sp macro="" textlink="">
      <xdr:nvSpPr>
        <xdr:cNvPr id="834" name="Shape 4">
          <a:extLst>
            <a:ext uri="{FF2B5EF4-FFF2-40B4-BE49-F238E27FC236}">
              <a16:creationId xmlns:a16="http://schemas.microsoft.com/office/drawing/2014/main" id="{F6C95F02-2DA0-4511-B30B-73D2494C8704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183</xdr:row>
      <xdr:rowOff>0</xdr:rowOff>
    </xdr:from>
    <xdr:ext cx="38100" cy="9525"/>
    <xdr:sp macro="" textlink="">
      <xdr:nvSpPr>
        <xdr:cNvPr id="835" name="Shape 4">
          <a:extLst>
            <a:ext uri="{FF2B5EF4-FFF2-40B4-BE49-F238E27FC236}">
              <a16:creationId xmlns:a16="http://schemas.microsoft.com/office/drawing/2014/main" id="{B43391F2-24FC-414C-856F-08A2B6C0AFA9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183</xdr:row>
      <xdr:rowOff>0</xdr:rowOff>
    </xdr:from>
    <xdr:ext cx="38100" cy="9525"/>
    <xdr:sp macro="" textlink="">
      <xdr:nvSpPr>
        <xdr:cNvPr id="836" name="Shape 4">
          <a:extLst>
            <a:ext uri="{FF2B5EF4-FFF2-40B4-BE49-F238E27FC236}">
              <a16:creationId xmlns:a16="http://schemas.microsoft.com/office/drawing/2014/main" id="{5466B88D-DA22-484B-9D7D-54FD61D5A606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183</xdr:row>
      <xdr:rowOff>0</xdr:rowOff>
    </xdr:from>
    <xdr:ext cx="38100" cy="9525"/>
    <xdr:sp macro="" textlink="">
      <xdr:nvSpPr>
        <xdr:cNvPr id="837" name="Shape 7">
          <a:extLst>
            <a:ext uri="{FF2B5EF4-FFF2-40B4-BE49-F238E27FC236}">
              <a16:creationId xmlns:a16="http://schemas.microsoft.com/office/drawing/2014/main" id="{31AE7CA0-64BE-4BEC-AAB1-04EDC2F5497E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183</xdr:row>
      <xdr:rowOff>0</xdr:rowOff>
    </xdr:from>
    <xdr:ext cx="38100" cy="9525"/>
    <xdr:sp macro="" textlink="">
      <xdr:nvSpPr>
        <xdr:cNvPr id="838" name="Shape 7">
          <a:extLst>
            <a:ext uri="{FF2B5EF4-FFF2-40B4-BE49-F238E27FC236}">
              <a16:creationId xmlns:a16="http://schemas.microsoft.com/office/drawing/2014/main" id="{F59E9C8F-4A10-4267-8F0A-1271ED109FAD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183</xdr:row>
      <xdr:rowOff>0</xdr:rowOff>
    </xdr:from>
    <xdr:ext cx="38100" cy="9525"/>
    <xdr:sp macro="" textlink="">
      <xdr:nvSpPr>
        <xdr:cNvPr id="839" name="Shape 4">
          <a:extLst>
            <a:ext uri="{FF2B5EF4-FFF2-40B4-BE49-F238E27FC236}">
              <a16:creationId xmlns:a16="http://schemas.microsoft.com/office/drawing/2014/main" id="{DE26A609-D374-44CB-9D6D-F243E657E7AF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183</xdr:row>
      <xdr:rowOff>0</xdr:rowOff>
    </xdr:from>
    <xdr:ext cx="38100" cy="9525"/>
    <xdr:sp macro="" textlink="">
      <xdr:nvSpPr>
        <xdr:cNvPr id="840" name="Shape 4">
          <a:extLst>
            <a:ext uri="{FF2B5EF4-FFF2-40B4-BE49-F238E27FC236}">
              <a16:creationId xmlns:a16="http://schemas.microsoft.com/office/drawing/2014/main" id="{49CD2C8A-2C0E-4FA4-B04A-486BBC1EE26C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184</xdr:row>
      <xdr:rowOff>0</xdr:rowOff>
    </xdr:from>
    <xdr:ext cx="38100" cy="9525"/>
    <xdr:sp macro="" textlink="">
      <xdr:nvSpPr>
        <xdr:cNvPr id="841" name="Shape 4">
          <a:extLst>
            <a:ext uri="{FF2B5EF4-FFF2-40B4-BE49-F238E27FC236}">
              <a16:creationId xmlns:a16="http://schemas.microsoft.com/office/drawing/2014/main" id="{A01907DA-9B55-473A-B343-1DDF67CDF0DD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184</xdr:row>
      <xdr:rowOff>0</xdr:rowOff>
    </xdr:from>
    <xdr:ext cx="38100" cy="9525"/>
    <xdr:sp macro="" textlink="">
      <xdr:nvSpPr>
        <xdr:cNvPr id="842" name="Shape 4">
          <a:extLst>
            <a:ext uri="{FF2B5EF4-FFF2-40B4-BE49-F238E27FC236}">
              <a16:creationId xmlns:a16="http://schemas.microsoft.com/office/drawing/2014/main" id="{BE0D28A7-9227-492C-8E59-19EB8BFF1DB2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184</xdr:row>
      <xdr:rowOff>0</xdr:rowOff>
    </xdr:from>
    <xdr:ext cx="38100" cy="9525"/>
    <xdr:sp macro="" textlink="">
      <xdr:nvSpPr>
        <xdr:cNvPr id="843" name="Shape 7">
          <a:extLst>
            <a:ext uri="{FF2B5EF4-FFF2-40B4-BE49-F238E27FC236}">
              <a16:creationId xmlns:a16="http://schemas.microsoft.com/office/drawing/2014/main" id="{DA945019-8976-4669-8FB4-93E66BE42002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184</xdr:row>
      <xdr:rowOff>0</xdr:rowOff>
    </xdr:from>
    <xdr:ext cx="38100" cy="9525"/>
    <xdr:sp macro="" textlink="">
      <xdr:nvSpPr>
        <xdr:cNvPr id="844" name="Shape 7">
          <a:extLst>
            <a:ext uri="{FF2B5EF4-FFF2-40B4-BE49-F238E27FC236}">
              <a16:creationId xmlns:a16="http://schemas.microsoft.com/office/drawing/2014/main" id="{38924851-87EE-4A8E-ACE9-1F397657018E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184</xdr:row>
      <xdr:rowOff>0</xdr:rowOff>
    </xdr:from>
    <xdr:ext cx="38100" cy="9525"/>
    <xdr:sp macro="" textlink="">
      <xdr:nvSpPr>
        <xdr:cNvPr id="845" name="Shape 4">
          <a:extLst>
            <a:ext uri="{FF2B5EF4-FFF2-40B4-BE49-F238E27FC236}">
              <a16:creationId xmlns:a16="http://schemas.microsoft.com/office/drawing/2014/main" id="{8F525877-1CE1-4EFE-8757-009EBD9745F1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184</xdr:row>
      <xdr:rowOff>0</xdr:rowOff>
    </xdr:from>
    <xdr:ext cx="38100" cy="9525"/>
    <xdr:sp macro="" textlink="">
      <xdr:nvSpPr>
        <xdr:cNvPr id="846" name="Shape 4">
          <a:extLst>
            <a:ext uri="{FF2B5EF4-FFF2-40B4-BE49-F238E27FC236}">
              <a16:creationId xmlns:a16="http://schemas.microsoft.com/office/drawing/2014/main" id="{53EC713B-1CFF-4D32-BAB2-375AED6EE395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185</xdr:row>
      <xdr:rowOff>0</xdr:rowOff>
    </xdr:from>
    <xdr:ext cx="38100" cy="9525"/>
    <xdr:sp macro="" textlink="">
      <xdr:nvSpPr>
        <xdr:cNvPr id="847" name="Shape 4">
          <a:extLst>
            <a:ext uri="{FF2B5EF4-FFF2-40B4-BE49-F238E27FC236}">
              <a16:creationId xmlns:a16="http://schemas.microsoft.com/office/drawing/2014/main" id="{CD074B91-69AA-43A2-A97E-F1594CC06EBE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185</xdr:row>
      <xdr:rowOff>0</xdr:rowOff>
    </xdr:from>
    <xdr:ext cx="38100" cy="9525"/>
    <xdr:sp macro="" textlink="">
      <xdr:nvSpPr>
        <xdr:cNvPr id="848" name="Shape 4">
          <a:extLst>
            <a:ext uri="{FF2B5EF4-FFF2-40B4-BE49-F238E27FC236}">
              <a16:creationId xmlns:a16="http://schemas.microsoft.com/office/drawing/2014/main" id="{A73FCEF0-46AC-4792-A7E3-CE25484AB78C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185</xdr:row>
      <xdr:rowOff>0</xdr:rowOff>
    </xdr:from>
    <xdr:ext cx="38100" cy="9525"/>
    <xdr:sp macro="" textlink="">
      <xdr:nvSpPr>
        <xdr:cNvPr id="849" name="Shape 7">
          <a:extLst>
            <a:ext uri="{FF2B5EF4-FFF2-40B4-BE49-F238E27FC236}">
              <a16:creationId xmlns:a16="http://schemas.microsoft.com/office/drawing/2014/main" id="{86E36DEE-3C1C-4E22-AD48-FC4E0A2DE556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185</xdr:row>
      <xdr:rowOff>0</xdr:rowOff>
    </xdr:from>
    <xdr:ext cx="38100" cy="9525"/>
    <xdr:sp macro="" textlink="">
      <xdr:nvSpPr>
        <xdr:cNvPr id="850" name="Shape 7">
          <a:extLst>
            <a:ext uri="{FF2B5EF4-FFF2-40B4-BE49-F238E27FC236}">
              <a16:creationId xmlns:a16="http://schemas.microsoft.com/office/drawing/2014/main" id="{8ECE040A-27A6-4041-B306-68E099C643FA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185</xdr:row>
      <xdr:rowOff>0</xdr:rowOff>
    </xdr:from>
    <xdr:ext cx="38100" cy="9525"/>
    <xdr:sp macro="" textlink="">
      <xdr:nvSpPr>
        <xdr:cNvPr id="851" name="Shape 4">
          <a:extLst>
            <a:ext uri="{FF2B5EF4-FFF2-40B4-BE49-F238E27FC236}">
              <a16:creationId xmlns:a16="http://schemas.microsoft.com/office/drawing/2014/main" id="{D12785EF-48EB-4303-86B1-3213ED43BEEE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185</xdr:row>
      <xdr:rowOff>0</xdr:rowOff>
    </xdr:from>
    <xdr:ext cx="38100" cy="9525"/>
    <xdr:sp macro="" textlink="">
      <xdr:nvSpPr>
        <xdr:cNvPr id="852" name="Shape 4">
          <a:extLst>
            <a:ext uri="{FF2B5EF4-FFF2-40B4-BE49-F238E27FC236}">
              <a16:creationId xmlns:a16="http://schemas.microsoft.com/office/drawing/2014/main" id="{19FAF0FF-4144-47E2-9AE1-61D15D8C4BBC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186</xdr:row>
      <xdr:rowOff>0</xdr:rowOff>
    </xdr:from>
    <xdr:ext cx="38100" cy="9525"/>
    <xdr:sp macro="" textlink="">
      <xdr:nvSpPr>
        <xdr:cNvPr id="853" name="Shape 4">
          <a:extLst>
            <a:ext uri="{FF2B5EF4-FFF2-40B4-BE49-F238E27FC236}">
              <a16:creationId xmlns:a16="http://schemas.microsoft.com/office/drawing/2014/main" id="{4D3EA59B-EEE8-4751-9B51-4AE584FD7B76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186</xdr:row>
      <xdr:rowOff>0</xdr:rowOff>
    </xdr:from>
    <xdr:ext cx="38100" cy="9525"/>
    <xdr:sp macro="" textlink="">
      <xdr:nvSpPr>
        <xdr:cNvPr id="854" name="Shape 4">
          <a:extLst>
            <a:ext uri="{FF2B5EF4-FFF2-40B4-BE49-F238E27FC236}">
              <a16:creationId xmlns:a16="http://schemas.microsoft.com/office/drawing/2014/main" id="{05DAEBDE-4B0D-490C-B63D-35B350681F90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186</xdr:row>
      <xdr:rowOff>0</xdr:rowOff>
    </xdr:from>
    <xdr:ext cx="38100" cy="9525"/>
    <xdr:sp macro="" textlink="">
      <xdr:nvSpPr>
        <xdr:cNvPr id="855" name="Shape 7">
          <a:extLst>
            <a:ext uri="{FF2B5EF4-FFF2-40B4-BE49-F238E27FC236}">
              <a16:creationId xmlns:a16="http://schemas.microsoft.com/office/drawing/2014/main" id="{36AF322A-2638-4905-B5CD-71CAB036F172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186</xdr:row>
      <xdr:rowOff>0</xdr:rowOff>
    </xdr:from>
    <xdr:ext cx="38100" cy="9525"/>
    <xdr:sp macro="" textlink="">
      <xdr:nvSpPr>
        <xdr:cNvPr id="856" name="Shape 7">
          <a:extLst>
            <a:ext uri="{FF2B5EF4-FFF2-40B4-BE49-F238E27FC236}">
              <a16:creationId xmlns:a16="http://schemas.microsoft.com/office/drawing/2014/main" id="{2285672F-937A-4A77-BED6-001D4C85993A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186</xdr:row>
      <xdr:rowOff>0</xdr:rowOff>
    </xdr:from>
    <xdr:ext cx="38100" cy="9525"/>
    <xdr:sp macro="" textlink="">
      <xdr:nvSpPr>
        <xdr:cNvPr id="857" name="Shape 4">
          <a:extLst>
            <a:ext uri="{FF2B5EF4-FFF2-40B4-BE49-F238E27FC236}">
              <a16:creationId xmlns:a16="http://schemas.microsoft.com/office/drawing/2014/main" id="{C58AC832-9C97-4376-B156-F8CBEBBADF00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186</xdr:row>
      <xdr:rowOff>0</xdr:rowOff>
    </xdr:from>
    <xdr:ext cx="38100" cy="9525"/>
    <xdr:sp macro="" textlink="">
      <xdr:nvSpPr>
        <xdr:cNvPr id="858" name="Shape 4">
          <a:extLst>
            <a:ext uri="{FF2B5EF4-FFF2-40B4-BE49-F238E27FC236}">
              <a16:creationId xmlns:a16="http://schemas.microsoft.com/office/drawing/2014/main" id="{B62ADB41-CC97-4A3D-8E05-EF3F4E02DEF4}"/>
            </a:ext>
          </a:extLst>
        </xdr:cNvPr>
        <xdr:cNvSpPr/>
      </xdr:nvSpPr>
      <xdr:spPr>
        <a:xfrm>
          <a:off x="7791450" y="17745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67" name="Shape 4">
          <a:extLst>
            <a:ext uri="{FF2B5EF4-FFF2-40B4-BE49-F238E27FC236}">
              <a16:creationId xmlns:a16="http://schemas.microsoft.com/office/drawing/2014/main" id="{12B40EB5-B72A-450C-8640-691FC70700EC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68" name="Shape 4">
          <a:extLst>
            <a:ext uri="{FF2B5EF4-FFF2-40B4-BE49-F238E27FC236}">
              <a16:creationId xmlns:a16="http://schemas.microsoft.com/office/drawing/2014/main" id="{90ECD892-0A12-42F7-96E5-EA8D9DD92EB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69" name="Shape 7">
          <a:extLst>
            <a:ext uri="{FF2B5EF4-FFF2-40B4-BE49-F238E27FC236}">
              <a16:creationId xmlns:a16="http://schemas.microsoft.com/office/drawing/2014/main" id="{92E9F1F3-2BFE-49A9-B2C5-9364218DDAA5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70" name="Shape 7">
          <a:extLst>
            <a:ext uri="{FF2B5EF4-FFF2-40B4-BE49-F238E27FC236}">
              <a16:creationId xmlns:a16="http://schemas.microsoft.com/office/drawing/2014/main" id="{8B03B952-25FF-4D9D-9F83-371918F3AE2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71" name="Shape 4">
          <a:extLst>
            <a:ext uri="{FF2B5EF4-FFF2-40B4-BE49-F238E27FC236}">
              <a16:creationId xmlns:a16="http://schemas.microsoft.com/office/drawing/2014/main" id="{A303F087-365B-48DA-B682-122052356BE0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72" name="Shape 4">
          <a:extLst>
            <a:ext uri="{FF2B5EF4-FFF2-40B4-BE49-F238E27FC236}">
              <a16:creationId xmlns:a16="http://schemas.microsoft.com/office/drawing/2014/main" id="{D3E28BA0-8F05-4897-836D-23812C6C8DBB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73" name="Shape 4">
          <a:extLst>
            <a:ext uri="{FF2B5EF4-FFF2-40B4-BE49-F238E27FC236}">
              <a16:creationId xmlns:a16="http://schemas.microsoft.com/office/drawing/2014/main" id="{DC69D976-FAC8-424F-8F74-99287D693A3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74" name="Shape 4">
          <a:extLst>
            <a:ext uri="{FF2B5EF4-FFF2-40B4-BE49-F238E27FC236}">
              <a16:creationId xmlns:a16="http://schemas.microsoft.com/office/drawing/2014/main" id="{84D8803E-E4D7-4DAE-BA4B-A648F9E3C214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75" name="Shape 7">
          <a:extLst>
            <a:ext uri="{FF2B5EF4-FFF2-40B4-BE49-F238E27FC236}">
              <a16:creationId xmlns:a16="http://schemas.microsoft.com/office/drawing/2014/main" id="{44DDB275-2AC4-467B-9EA7-D27B115066A5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76" name="Shape 7">
          <a:extLst>
            <a:ext uri="{FF2B5EF4-FFF2-40B4-BE49-F238E27FC236}">
              <a16:creationId xmlns:a16="http://schemas.microsoft.com/office/drawing/2014/main" id="{A864A79F-B3E7-4FE5-AE64-0045ED0266B4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77" name="Shape 4">
          <a:extLst>
            <a:ext uri="{FF2B5EF4-FFF2-40B4-BE49-F238E27FC236}">
              <a16:creationId xmlns:a16="http://schemas.microsoft.com/office/drawing/2014/main" id="{B0C07C0A-E408-494E-AB9C-24F3D0826DB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35</xdr:row>
      <xdr:rowOff>0</xdr:rowOff>
    </xdr:from>
    <xdr:ext cx="38100" cy="9525"/>
    <xdr:sp macro="" textlink="">
      <xdr:nvSpPr>
        <xdr:cNvPr id="978" name="Shape 4">
          <a:extLst>
            <a:ext uri="{FF2B5EF4-FFF2-40B4-BE49-F238E27FC236}">
              <a16:creationId xmlns:a16="http://schemas.microsoft.com/office/drawing/2014/main" id="{18712C05-EF82-4D08-8D4F-B9576B745B1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79" name="Shape 4">
          <a:extLst>
            <a:ext uri="{FF2B5EF4-FFF2-40B4-BE49-F238E27FC236}">
              <a16:creationId xmlns:a16="http://schemas.microsoft.com/office/drawing/2014/main" id="{61AE2841-CCEC-4A9E-A01F-5C630562BE22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0" name="Shape 4">
          <a:extLst>
            <a:ext uri="{FF2B5EF4-FFF2-40B4-BE49-F238E27FC236}">
              <a16:creationId xmlns:a16="http://schemas.microsoft.com/office/drawing/2014/main" id="{C5AA6F06-6838-4B61-8DF6-001D810EA59A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1" name="Shape 7">
          <a:extLst>
            <a:ext uri="{FF2B5EF4-FFF2-40B4-BE49-F238E27FC236}">
              <a16:creationId xmlns:a16="http://schemas.microsoft.com/office/drawing/2014/main" id="{8AE3CE08-1FC3-4FE7-B907-C90C3E196F8C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2" name="Shape 7">
          <a:extLst>
            <a:ext uri="{FF2B5EF4-FFF2-40B4-BE49-F238E27FC236}">
              <a16:creationId xmlns:a16="http://schemas.microsoft.com/office/drawing/2014/main" id="{B317CF19-4D55-4B56-A48C-796BA76B5657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3" name="Shape 4">
          <a:extLst>
            <a:ext uri="{FF2B5EF4-FFF2-40B4-BE49-F238E27FC236}">
              <a16:creationId xmlns:a16="http://schemas.microsoft.com/office/drawing/2014/main" id="{51A57960-5866-44B3-B410-DFB44D323B66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4" name="Shape 4">
          <a:extLst>
            <a:ext uri="{FF2B5EF4-FFF2-40B4-BE49-F238E27FC236}">
              <a16:creationId xmlns:a16="http://schemas.microsoft.com/office/drawing/2014/main" id="{1DADD97A-99D0-490F-A52E-A004A86AB090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5" name="Shape 4">
          <a:extLst>
            <a:ext uri="{FF2B5EF4-FFF2-40B4-BE49-F238E27FC236}">
              <a16:creationId xmlns:a16="http://schemas.microsoft.com/office/drawing/2014/main" id="{911E2E01-BC3A-4373-A72C-F3F2D26CC6DB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6" name="Shape 4">
          <a:extLst>
            <a:ext uri="{FF2B5EF4-FFF2-40B4-BE49-F238E27FC236}">
              <a16:creationId xmlns:a16="http://schemas.microsoft.com/office/drawing/2014/main" id="{2CACD20C-6EF2-415E-9086-FB997AA218B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7" name="Shape 7">
          <a:extLst>
            <a:ext uri="{FF2B5EF4-FFF2-40B4-BE49-F238E27FC236}">
              <a16:creationId xmlns:a16="http://schemas.microsoft.com/office/drawing/2014/main" id="{2DA08F8D-CA2A-4283-AE37-EC4A3F449EF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8" name="Shape 7">
          <a:extLst>
            <a:ext uri="{FF2B5EF4-FFF2-40B4-BE49-F238E27FC236}">
              <a16:creationId xmlns:a16="http://schemas.microsoft.com/office/drawing/2014/main" id="{DA43E013-1386-40AD-B40E-8716081DFFB4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89" name="Shape 4">
          <a:extLst>
            <a:ext uri="{FF2B5EF4-FFF2-40B4-BE49-F238E27FC236}">
              <a16:creationId xmlns:a16="http://schemas.microsoft.com/office/drawing/2014/main" id="{773337FC-F6C9-4860-9105-07BFF9A663DB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36</xdr:row>
      <xdr:rowOff>0</xdr:rowOff>
    </xdr:from>
    <xdr:ext cx="38100" cy="9525"/>
    <xdr:sp macro="" textlink="">
      <xdr:nvSpPr>
        <xdr:cNvPr id="990" name="Shape 4">
          <a:extLst>
            <a:ext uri="{FF2B5EF4-FFF2-40B4-BE49-F238E27FC236}">
              <a16:creationId xmlns:a16="http://schemas.microsoft.com/office/drawing/2014/main" id="{DD8FAB97-647A-4AB2-9A01-584474B24C4A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991" name="Shape 4">
          <a:extLst>
            <a:ext uri="{FF2B5EF4-FFF2-40B4-BE49-F238E27FC236}">
              <a16:creationId xmlns:a16="http://schemas.microsoft.com/office/drawing/2014/main" id="{A1D50E0A-7510-4E22-8202-20368D344DA5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992" name="Shape 4">
          <a:extLst>
            <a:ext uri="{FF2B5EF4-FFF2-40B4-BE49-F238E27FC236}">
              <a16:creationId xmlns:a16="http://schemas.microsoft.com/office/drawing/2014/main" id="{4875C82D-4086-4003-BC5A-8447BC91FEDC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993" name="Shape 7">
          <a:extLst>
            <a:ext uri="{FF2B5EF4-FFF2-40B4-BE49-F238E27FC236}">
              <a16:creationId xmlns:a16="http://schemas.microsoft.com/office/drawing/2014/main" id="{22681CBA-FE88-409B-94E4-EB1651FFA4DA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994" name="Shape 7">
          <a:extLst>
            <a:ext uri="{FF2B5EF4-FFF2-40B4-BE49-F238E27FC236}">
              <a16:creationId xmlns:a16="http://schemas.microsoft.com/office/drawing/2014/main" id="{F7EFA983-DDBD-4038-B102-F2C3FAE232C4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995" name="Shape 4">
          <a:extLst>
            <a:ext uri="{FF2B5EF4-FFF2-40B4-BE49-F238E27FC236}">
              <a16:creationId xmlns:a16="http://schemas.microsoft.com/office/drawing/2014/main" id="{88DADAE8-AC49-4AF2-91C2-1EE41E0A5B3A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996" name="Shape 4">
          <a:extLst>
            <a:ext uri="{FF2B5EF4-FFF2-40B4-BE49-F238E27FC236}">
              <a16:creationId xmlns:a16="http://schemas.microsoft.com/office/drawing/2014/main" id="{49E4BDBB-5E85-40CC-9AFA-529FF296E20A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997" name="Shape 4">
          <a:extLst>
            <a:ext uri="{FF2B5EF4-FFF2-40B4-BE49-F238E27FC236}">
              <a16:creationId xmlns:a16="http://schemas.microsoft.com/office/drawing/2014/main" id="{D098D4E0-6C0C-4CF6-9BE3-3288AF9BE05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998" name="Shape 4">
          <a:extLst>
            <a:ext uri="{FF2B5EF4-FFF2-40B4-BE49-F238E27FC236}">
              <a16:creationId xmlns:a16="http://schemas.microsoft.com/office/drawing/2014/main" id="{B4FAE4AC-D7B3-4C36-810C-C32EDB2DF06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999" name="Shape 7">
          <a:extLst>
            <a:ext uri="{FF2B5EF4-FFF2-40B4-BE49-F238E27FC236}">
              <a16:creationId xmlns:a16="http://schemas.microsoft.com/office/drawing/2014/main" id="{6255D6B9-BDF0-48AA-9174-2A6EE94320E2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1000" name="Shape 7">
          <a:extLst>
            <a:ext uri="{FF2B5EF4-FFF2-40B4-BE49-F238E27FC236}">
              <a16:creationId xmlns:a16="http://schemas.microsoft.com/office/drawing/2014/main" id="{F72FCBA8-980F-4B6E-9029-BDA0DF0084E3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1001" name="Shape 4">
          <a:extLst>
            <a:ext uri="{FF2B5EF4-FFF2-40B4-BE49-F238E27FC236}">
              <a16:creationId xmlns:a16="http://schemas.microsoft.com/office/drawing/2014/main" id="{E9A4FB92-BF11-47C6-997A-ABC520AA0C1C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37</xdr:row>
      <xdr:rowOff>0</xdr:rowOff>
    </xdr:from>
    <xdr:ext cx="38100" cy="9525"/>
    <xdr:sp macro="" textlink="">
      <xdr:nvSpPr>
        <xdr:cNvPr id="1002" name="Shape 4">
          <a:extLst>
            <a:ext uri="{FF2B5EF4-FFF2-40B4-BE49-F238E27FC236}">
              <a16:creationId xmlns:a16="http://schemas.microsoft.com/office/drawing/2014/main" id="{A4BFA618-7009-4C4E-A5A7-1978E975E1F5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03" name="Shape 4">
          <a:extLst>
            <a:ext uri="{FF2B5EF4-FFF2-40B4-BE49-F238E27FC236}">
              <a16:creationId xmlns:a16="http://schemas.microsoft.com/office/drawing/2014/main" id="{ABC9E076-F9BE-4F74-83D6-90A020452D7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04" name="Shape 4">
          <a:extLst>
            <a:ext uri="{FF2B5EF4-FFF2-40B4-BE49-F238E27FC236}">
              <a16:creationId xmlns:a16="http://schemas.microsoft.com/office/drawing/2014/main" id="{E85C8317-A98D-4FE4-BD21-DA81EC84F97A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05" name="Shape 7">
          <a:extLst>
            <a:ext uri="{FF2B5EF4-FFF2-40B4-BE49-F238E27FC236}">
              <a16:creationId xmlns:a16="http://schemas.microsoft.com/office/drawing/2014/main" id="{FC33D359-2E33-408C-B421-EC04224A4D1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06" name="Shape 7">
          <a:extLst>
            <a:ext uri="{FF2B5EF4-FFF2-40B4-BE49-F238E27FC236}">
              <a16:creationId xmlns:a16="http://schemas.microsoft.com/office/drawing/2014/main" id="{468C7634-9730-4D2E-BDA6-592898EE46F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07" name="Shape 4">
          <a:extLst>
            <a:ext uri="{FF2B5EF4-FFF2-40B4-BE49-F238E27FC236}">
              <a16:creationId xmlns:a16="http://schemas.microsoft.com/office/drawing/2014/main" id="{A31099D5-DDD6-4420-9AE5-2BCCC4D0F86B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08" name="Shape 4">
          <a:extLst>
            <a:ext uri="{FF2B5EF4-FFF2-40B4-BE49-F238E27FC236}">
              <a16:creationId xmlns:a16="http://schemas.microsoft.com/office/drawing/2014/main" id="{727B3AD5-E1E3-41EF-8081-BC34DAB9823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09" name="Shape 4">
          <a:extLst>
            <a:ext uri="{FF2B5EF4-FFF2-40B4-BE49-F238E27FC236}">
              <a16:creationId xmlns:a16="http://schemas.microsoft.com/office/drawing/2014/main" id="{808C8E87-DD3B-4DCF-AD7B-9EDADD2F2180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10" name="Shape 4">
          <a:extLst>
            <a:ext uri="{FF2B5EF4-FFF2-40B4-BE49-F238E27FC236}">
              <a16:creationId xmlns:a16="http://schemas.microsoft.com/office/drawing/2014/main" id="{10FE4BFD-467D-4E21-94BD-5B0677D2A61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11" name="Shape 7">
          <a:extLst>
            <a:ext uri="{FF2B5EF4-FFF2-40B4-BE49-F238E27FC236}">
              <a16:creationId xmlns:a16="http://schemas.microsoft.com/office/drawing/2014/main" id="{1CEAB8C3-3796-4C3D-908A-E1ED1D047AFB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12" name="Shape 7">
          <a:extLst>
            <a:ext uri="{FF2B5EF4-FFF2-40B4-BE49-F238E27FC236}">
              <a16:creationId xmlns:a16="http://schemas.microsoft.com/office/drawing/2014/main" id="{6A2FAB3D-5571-412C-AE15-5EDA4E2244E4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13" name="Shape 4">
          <a:extLst>
            <a:ext uri="{FF2B5EF4-FFF2-40B4-BE49-F238E27FC236}">
              <a16:creationId xmlns:a16="http://schemas.microsoft.com/office/drawing/2014/main" id="{4F6F44C0-80B5-46A1-99B7-6DB49A587ED5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38</xdr:row>
      <xdr:rowOff>0</xdr:rowOff>
    </xdr:from>
    <xdr:ext cx="38100" cy="9525"/>
    <xdr:sp macro="" textlink="">
      <xdr:nvSpPr>
        <xdr:cNvPr id="1014" name="Shape 4">
          <a:extLst>
            <a:ext uri="{FF2B5EF4-FFF2-40B4-BE49-F238E27FC236}">
              <a16:creationId xmlns:a16="http://schemas.microsoft.com/office/drawing/2014/main" id="{7FC3F8C5-55A2-47E2-B7A7-E9DEFEC40AE7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15" name="Shape 4">
          <a:extLst>
            <a:ext uri="{FF2B5EF4-FFF2-40B4-BE49-F238E27FC236}">
              <a16:creationId xmlns:a16="http://schemas.microsoft.com/office/drawing/2014/main" id="{494A5589-1F21-45D0-8FDC-407A65A3090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16" name="Shape 4">
          <a:extLst>
            <a:ext uri="{FF2B5EF4-FFF2-40B4-BE49-F238E27FC236}">
              <a16:creationId xmlns:a16="http://schemas.microsoft.com/office/drawing/2014/main" id="{997B122A-8569-45CD-9896-9F74820978F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17" name="Shape 7">
          <a:extLst>
            <a:ext uri="{FF2B5EF4-FFF2-40B4-BE49-F238E27FC236}">
              <a16:creationId xmlns:a16="http://schemas.microsoft.com/office/drawing/2014/main" id="{53095B16-A6BC-4581-B3FD-42DA08011A4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18" name="Shape 7">
          <a:extLst>
            <a:ext uri="{FF2B5EF4-FFF2-40B4-BE49-F238E27FC236}">
              <a16:creationId xmlns:a16="http://schemas.microsoft.com/office/drawing/2014/main" id="{744D7CEA-6023-4B84-B68E-0CB4E401E02C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19" name="Shape 4">
          <a:extLst>
            <a:ext uri="{FF2B5EF4-FFF2-40B4-BE49-F238E27FC236}">
              <a16:creationId xmlns:a16="http://schemas.microsoft.com/office/drawing/2014/main" id="{26260B6E-C188-4AA1-87AA-BB4EC5A6C05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20" name="Shape 4">
          <a:extLst>
            <a:ext uri="{FF2B5EF4-FFF2-40B4-BE49-F238E27FC236}">
              <a16:creationId xmlns:a16="http://schemas.microsoft.com/office/drawing/2014/main" id="{7012B466-0530-43B1-84FA-EED7BD6AEB2C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21" name="Shape 4">
          <a:extLst>
            <a:ext uri="{FF2B5EF4-FFF2-40B4-BE49-F238E27FC236}">
              <a16:creationId xmlns:a16="http://schemas.microsoft.com/office/drawing/2014/main" id="{BB1482DB-3C9D-43FB-AF4B-4B33C5B4D117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22" name="Shape 4">
          <a:extLst>
            <a:ext uri="{FF2B5EF4-FFF2-40B4-BE49-F238E27FC236}">
              <a16:creationId xmlns:a16="http://schemas.microsoft.com/office/drawing/2014/main" id="{001860B8-695C-4322-A7A2-C38A65A07637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23" name="Shape 7">
          <a:extLst>
            <a:ext uri="{FF2B5EF4-FFF2-40B4-BE49-F238E27FC236}">
              <a16:creationId xmlns:a16="http://schemas.microsoft.com/office/drawing/2014/main" id="{3AB1E324-A235-42ED-AEE9-36039B04A110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24" name="Shape 7">
          <a:extLst>
            <a:ext uri="{FF2B5EF4-FFF2-40B4-BE49-F238E27FC236}">
              <a16:creationId xmlns:a16="http://schemas.microsoft.com/office/drawing/2014/main" id="{A7DF240B-22BC-4224-BD62-F0637781EFDA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25" name="Shape 4">
          <a:extLst>
            <a:ext uri="{FF2B5EF4-FFF2-40B4-BE49-F238E27FC236}">
              <a16:creationId xmlns:a16="http://schemas.microsoft.com/office/drawing/2014/main" id="{257339BC-C3F4-4F1D-8E8A-1774365E8463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39</xdr:row>
      <xdr:rowOff>0</xdr:rowOff>
    </xdr:from>
    <xdr:ext cx="38100" cy="9525"/>
    <xdr:sp macro="" textlink="">
      <xdr:nvSpPr>
        <xdr:cNvPr id="1026" name="Shape 4">
          <a:extLst>
            <a:ext uri="{FF2B5EF4-FFF2-40B4-BE49-F238E27FC236}">
              <a16:creationId xmlns:a16="http://schemas.microsoft.com/office/drawing/2014/main" id="{95858D58-73A0-4920-A5C4-C1A3027FEEE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27" name="Shape 4">
          <a:extLst>
            <a:ext uri="{FF2B5EF4-FFF2-40B4-BE49-F238E27FC236}">
              <a16:creationId xmlns:a16="http://schemas.microsoft.com/office/drawing/2014/main" id="{92153917-741C-4965-9192-E254505FBB4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28" name="Shape 4">
          <a:extLst>
            <a:ext uri="{FF2B5EF4-FFF2-40B4-BE49-F238E27FC236}">
              <a16:creationId xmlns:a16="http://schemas.microsoft.com/office/drawing/2014/main" id="{EB4AC8D7-F29A-4D33-8773-2670B001339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29" name="Shape 7">
          <a:extLst>
            <a:ext uri="{FF2B5EF4-FFF2-40B4-BE49-F238E27FC236}">
              <a16:creationId xmlns:a16="http://schemas.microsoft.com/office/drawing/2014/main" id="{66857CE9-C0B9-410F-AEA0-7501D3EA49B3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30" name="Shape 7">
          <a:extLst>
            <a:ext uri="{FF2B5EF4-FFF2-40B4-BE49-F238E27FC236}">
              <a16:creationId xmlns:a16="http://schemas.microsoft.com/office/drawing/2014/main" id="{A242C0C4-6423-46BC-8155-72437CC2192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31" name="Shape 4">
          <a:extLst>
            <a:ext uri="{FF2B5EF4-FFF2-40B4-BE49-F238E27FC236}">
              <a16:creationId xmlns:a16="http://schemas.microsoft.com/office/drawing/2014/main" id="{976916F5-B475-41F0-81AB-1E1483B3E5A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32" name="Shape 4">
          <a:extLst>
            <a:ext uri="{FF2B5EF4-FFF2-40B4-BE49-F238E27FC236}">
              <a16:creationId xmlns:a16="http://schemas.microsoft.com/office/drawing/2014/main" id="{1E74AFA7-D54F-4BCB-B440-9FD4B6B57BC7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33" name="Shape 4">
          <a:extLst>
            <a:ext uri="{FF2B5EF4-FFF2-40B4-BE49-F238E27FC236}">
              <a16:creationId xmlns:a16="http://schemas.microsoft.com/office/drawing/2014/main" id="{8EE123BB-8638-417E-84FD-B3BC40F72E5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34" name="Shape 4">
          <a:extLst>
            <a:ext uri="{FF2B5EF4-FFF2-40B4-BE49-F238E27FC236}">
              <a16:creationId xmlns:a16="http://schemas.microsoft.com/office/drawing/2014/main" id="{DDCE4DF3-E56B-4C2D-BD11-25EBE2E67D95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35" name="Shape 7">
          <a:extLst>
            <a:ext uri="{FF2B5EF4-FFF2-40B4-BE49-F238E27FC236}">
              <a16:creationId xmlns:a16="http://schemas.microsoft.com/office/drawing/2014/main" id="{32F149CD-2B07-4157-9982-29158ABDB423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36" name="Shape 7">
          <a:extLst>
            <a:ext uri="{FF2B5EF4-FFF2-40B4-BE49-F238E27FC236}">
              <a16:creationId xmlns:a16="http://schemas.microsoft.com/office/drawing/2014/main" id="{D43E2B61-07DB-4EE4-9E6A-26DE1EF28C0E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37" name="Shape 4">
          <a:extLst>
            <a:ext uri="{FF2B5EF4-FFF2-40B4-BE49-F238E27FC236}">
              <a16:creationId xmlns:a16="http://schemas.microsoft.com/office/drawing/2014/main" id="{53BD4AD1-9322-47B7-AF28-46B01508414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40</xdr:row>
      <xdr:rowOff>0</xdr:rowOff>
    </xdr:from>
    <xdr:ext cx="38100" cy="9525"/>
    <xdr:sp macro="" textlink="">
      <xdr:nvSpPr>
        <xdr:cNvPr id="1038" name="Shape 4">
          <a:extLst>
            <a:ext uri="{FF2B5EF4-FFF2-40B4-BE49-F238E27FC236}">
              <a16:creationId xmlns:a16="http://schemas.microsoft.com/office/drawing/2014/main" id="{25773F85-C3A5-4508-9E1A-F21C27A9F7A6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39" name="Shape 4">
          <a:extLst>
            <a:ext uri="{FF2B5EF4-FFF2-40B4-BE49-F238E27FC236}">
              <a16:creationId xmlns:a16="http://schemas.microsoft.com/office/drawing/2014/main" id="{E2C4C355-4720-4C9F-82C4-7E0F9F530F24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0" name="Shape 4">
          <a:extLst>
            <a:ext uri="{FF2B5EF4-FFF2-40B4-BE49-F238E27FC236}">
              <a16:creationId xmlns:a16="http://schemas.microsoft.com/office/drawing/2014/main" id="{767A851F-3F3C-4C1B-8A97-8CDE82B939D0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1" name="Shape 7">
          <a:extLst>
            <a:ext uri="{FF2B5EF4-FFF2-40B4-BE49-F238E27FC236}">
              <a16:creationId xmlns:a16="http://schemas.microsoft.com/office/drawing/2014/main" id="{277E34EE-0FAE-4D8A-910E-275ACEA49470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2" name="Shape 7">
          <a:extLst>
            <a:ext uri="{FF2B5EF4-FFF2-40B4-BE49-F238E27FC236}">
              <a16:creationId xmlns:a16="http://schemas.microsoft.com/office/drawing/2014/main" id="{C31FCE1C-6081-48B5-B76A-95AC7333C21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3" name="Shape 4">
          <a:extLst>
            <a:ext uri="{FF2B5EF4-FFF2-40B4-BE49-F238E27FC236}">
              <a16:creationId xmlns:a16="http://schemas.microsoft.com/office/drawing/2014/main" id="{19330BC0-5CD3-4EF7-B4E1-606210B91C45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4" name="Shape 4">
          <a:extLst>
            <a:ext uri="{FF2B5EF4-FFF2-40B4-BE49-F238E27FC236}">
              <a16:creationId xmlns:a16="http://schemas.microsoft.com/office/drawing/2014/main" id="{388BDB44-36E9-4245-83C4-33F83D0A3330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5" name="Shape 4">
          <a:extLst>
            <a:ext uri="{FF2B5EF4-FFF2-40B4-BE49-F238E27FC236}">
              <a16:creationId xmlns:a16="http://schemas.microsoft.com/office/drawing/2014/main" id="{3732C14E-C3A3-47BF-B236-9642BA4C5DFA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6" name="Shape 4">
          <a:extLst>
            <a:ext uri="{FF2B5EF4-FFF2-40B4-BE49-F238E27FC236}">
              <a16:creationId xmlns:a16="http://schemas.microsoft.com/office/drawing/2014/main" id="{C1D63ABB-40C0-4EAD-B91C-CA27931CEDE7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7" name="Shape 7">
          <a:extLst>
            <a:ext uri="{FF2B5EF4-FFF2-40B4-BE49-F238E27FC236}">
              <a16:creationId xmlns:a16="http://schemas.microsoft.com/office/drawing/2014/main" id="{CA49350C-F0FD-4809-8A77-F678AAC736B2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8" name="Shape 7">
          <a:extLst>
            <a:ext uri="{FF2B5EF4-FFF2-40B4-BE49-F238E27FC236}">
              <a16:creationId xmlns:a16="http://schemas.microsoft.com/office/drawing/2014/main" id="{D4DF4BEF-0AA2-4402-A9C5-DFE55B25EB72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49" name="Shape 4">
          <a:extLst>
            <a:ext uri="{FF2B5EF4-FFF2-40B4-BE49-F238E27FC236}">
              <a16:creationId xmlns:a16="http://schemas.microsoft.com/office/drawing/2014/main" id="{ADFDB0A4-DA93-424E-ABF1-38C3073EEBE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41</xdr:row>
      <xdr:rowOff>0</xdr:rowOff>
    </xdr:from>
    <xdr:ext cx="38100" cy="9525"/>
    <xdr:sp macro="" textlink="">
      <xdr:nvSpPr>
        <xdr:cNvPr id="1050" name="Shape 4">
          <a:extLst>
            <a:ext uri="{FF2B5EF4-FFF2-40B4-BE49-F238E27FC236}">
              <a16:creationId xmlns:a16="http://schemas.microsoft.com/office/drawing/2014/main" id="{BB7F5B6D-F932-43C2-B1BB-C8FA715E98D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51" name="Shape 4">
          <a:extLst>
            <a:ext uri="{FF2B5EF4-FFF2-40B4-BE49-F238E27FC236}">
              <a16:creationId xmlns:a16="http://schemas.microsoft.com/office/drawing/2014/main" id="{E76D919F-14FC-40A8-A0E6-432611E2F439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52" name="Shape 4">
          <a:extLst>
            <a:ext uri="{FF2B5EF4-FFF2-40B4-BE49-F238E27FC236}">
              <a16:creationId xmlns:a16="http://schemas.microsoft.com/office/drawing/2014/main" id="{641738B4-3958-4734-9318-BCE0B242439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53" name="Shape 7">
          <a:extLst>
            <a:ext uri="{FF2B5EF4-FFF2-40B4-BE49-F238E27FC236}">
              <a16:creationId xmlns:a16="http://schemas.microsoft.com/office/drawing/2014/main" id="{6EA74921-50F3-4F3E-92FA-A20D89E3E2C4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54" name="Shape 7">
          <a:extLst>
            <a:ext uri="{FF2B5EF4-FFF2-40B4-BE49-F238E27FC236}">
              <a16:creationId xmlns:a16="http://schemas.microsoft.com/office/drawing/2014/main" id="{A00588CB-069C-4BFB-B43B-EE4A3EB4AD20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55" name="Shape 4">
          <a:extLst>
            <a:ext uri="{FF2B5EF4-FFF2-40B4-BE49-F238E27FC236}">
              <a16:creationId xmlns:a16="http://schemas.microsoft.com/office/drawing/2014/main" id="{1D346642-8788-4713-914C-BE3A52D80C8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56" name="Shape 4">
          <a:extLst>
            <a:ext uri="{FF2B5EF4-FFF2-40B4-BE49-F238E27FC236}">
              <a16:creationId xmlns:a16="http://schemas.microsoft.com/office/drawing/2014/main" id="{2A4DA0A6-B308-434F-8523-41BADEDF5E7B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57" name="Shape 4">
          <a:extLst>
            <a:ext uri="{FF2B5EF4-FFF2-40B4-BE49-F238E27FC236}">
              <a16:creationId xmlns:a16="http://schemas.microsoft.com/office/drawing/2014/main" id="{C0DB64D2-0481-43A7-A28F-73F2A06DB1A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58" name="Shape 4">
          <a:extLst>
            <a:ext uri="{FF2B5EF4-FFF2-40B4-BE49-F238E27FC236}">
              <a16:creationId xmlns:a16="http://schemas.microsoft.com/office/drawing/2014/main" id="{9DE41C44-72BE-4BB8-B20A-E7517D28176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59" name="Shape 7">
          <a:extLst>
            <a:ext uri="{FF2B5EF4-FFF2-40B4-BE49-F238E27FC236}">
              <a16:creationId xmlns:a16="http://schemas.microsoft.com/office/drawing/2014/main" id="{454C7FF2-56E1-4B08-936A-6CFD6DE43D0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60" name="Shape 7">
          <a:extLst>
            <a:ext uri="{FF2B5EF4-FFF2-40B4-BE49-F238E27FC236}">
              <a16:creationId xmlns:a16="http://schemas.microsoft.com/office/drawing/2014/main" id="{5CA8CF92-7E42-4681-B906-5688CFD7D765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61" name="Shape 4">
          <a:extLst>
            <a:ext uri="{FF2B5EF4-FFF2-40B4-BE49-F238E27FC236}">
              <a16:creationId xmlns:a16="http://schemas.microsoft.com/office/drawing/2014/main" id="{B6EA79FB-0151-450D-A0F4-7C695EC2098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42</xdr:row>
      <xdr:rowOff>0</xdr:rowOff>
    </xdr:from>
    <xdr:ext cx="38100" cy="9525"/>
    <xdr:sp macro="" textlink="">
      <xdr:nvSpPr>
        <xdr:cNvPr id="1062" name="Shape 4">
          <a:extLst>
            <a:ext uri="{FF2B5EF4-FFF2-40B4-BE49-F238E27FC236}">
              <a16:creationId xmlns:a16="http://schemas.microsoft.com/office/drawing/2014/main" id="{D41644A1-C7AD-413A-BBAA-5B9B285DA3F2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63" name="Shape 4">
          <a:extLst>
            <a:ext uri="{FF2B5EF4-FFF2-40B4-BE49-F238E27FC236}">
              <a16:creationId xmlns:a16="http://schemas.microsoft.com/office/drawing/2014/main" id="{41AE7F8D-CD09-4D04-AB26-44D53D42EDF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64" name="Shape 4">
          <a:extLst>
            <a:ext uri="{FF2B5EF4-FFF2-40B4-BE49-F238E27FC236}">
              <a16:creationId xmlns:a16="http://schemas.microsoft.com/office/drawing/2014/main" id="{2073E20A-0AEF-402C-8913-FD297AABB14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65" name="Shape 7">
          <a:extLst>
            <a:ext uri="{FF2B5EF4-FFF2-40B4-BE49-F238E27FC236}">
              <a16:creationId xmlns:a16="http://schemas.microsoft.com/office/drawing/2014/main" id="{6F544762-AB27-4E48-A6D9-32800E92F7F4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66" name="Shape 7">
          <a:extLst>
            <a:ext uri="{FF2B5EF4-FFF2-40B4-BE49-F238E27FC236}">
              <a16:creationId xmlns:a16="http://schemas.microsoft.com/office/drawing/2014/main" id="{DCF173C1-CBCF-47BC-A73B-FD70C787BB7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67" name="Shape 4">
          <a:extLst>
            <a:ext uri="{FF2B5EF4-FFF2-40B4-BE49-F238E27FC236}">
              <a16:creationId xmlns:a16="http://schemas.microsoft.com/office/drawing/2014/main" id="{8AE51D6F-381E-4829-9E8C-5679C723C983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68" name="Shape 4">
          <a:extLst>
            <a:ext uri="{FF2B5EF4-FFF2-40B4-BE49-F238E27FC236}">
              <a16:creationId xmlns:a16="http://schemas.microsoft.com/office/drawing/2014/main" id="{4F78E740-398A-4A89-AAA1-9481AA631F73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69" name="Shape 4">
          <a:extLst>
            <a:ext uri="{FF2B5EF4-FFF2-40B4-BE49-F238E27FC236}">
              <a16:creationId xmlns:a16="http://schemas.microsoft.com/office/drawing/2014/main" id="{8173DAC1-9CA0-4DEC-9640-7FB4DC7A37AE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70" name="Shape 4">
          <a:extLst>
            <a:ext uri="{FF2B5EF4-FFF2-40B4-BE49-F238E27FC236}">
              <a16:creationId xmlns:a16="http://schemas.microsoft.com/office/drawing/2014/main" id="{9957FCB8-1824-49E8-9B70-C073F83FE645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71" name="Shape 7">
          <a:extLst>
            <a:ext uri="{FF2B5EF4-FFF2-40B4-BE49-F238E27FC236}">
              <a16:creationId xmlns:a16="http://schemas.microsoft.com/office/drawing/2014/main" id="{A7A97210-B3AE-4B71-A4A5-5FAED27217E6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72" name="Shape 7">
          <a:extLst>
            <a:ext uri="{FF2B5EF4-FFF2-40B4-BE49-F238E27FC236}">
              <a16:creationId xmlns:a16="http://schemas.microsoft.com/office/drawing/2014/main" id="{DDC16565-A7F0-409E-BEF2-56350F3BB6D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73" name="Shape 4">
          <a:extLst>
            <a:ext uri="{FF2B5EF4-FFF2-40B4-BE49-F238E27FC236}">
              <a16:creationId xmlns:a16="http://schemas.microsoft.com/office/drawing/2014/main" id="{7BADE56D-DE6F-48AB-B484-D600365173A6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43</xdr:row>
      <xdr:rowOff>0</xdr:rowOff>
    </xdr:from>
    <xdr:ext cx="38100" cy="9525"/>
    <xdr:sp macro="" textlink="">
      <xdr:nvSpPr>
        <xdr:cNvPr id="1074" name="Shape 4">
          <a:extLst>
            <a:ext uri="{FF2B5EF4-FFF2-40B4-BE49-F238E27FC236}">
              <a16:creationId xmlns:a16="http://schemas.microsoft.com/office/drawing/2014/main" id="{EE29AB6D-EA2D-457D-B88D-7D548098124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75" name="Shape 4">
          <a:extLst>
            <a:ext uri="{FF2B5EF4-FFF2-40B4-BE49-F238E27FC236}">
              <a16:creationId xmlns:a16="http://schemas.microsoft.com/office/drawing/2014/main" id="{6FF78DF3-5CB4-4DB3-AAE0-112E15DB0FA7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76" name="Shape 4">
          <a:extLst>
            <a:ext uri="{FF2B5EF4-FFF2-40B4-BE49-F238E27FC236}">
              <a16:creationId xmlns:a16="http://schemas.microsoft.com/office/drawing/2014/main" id="{F53557A3-652B-4982-8282-4CB159A2BD3E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77" name="Shape 7">
          <a:extLst>
            <a:ext uri="{FF2B5EF4-FFF2-40B4-BE49-F238E27FC236}">
              <a16:creationId xmlns:a16="http://schemas.microsoft.com/office/drawing/2014/main" id="{057BC559-441E-4497-BB82-F8216262FD57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78" name="Shape 7">
          <a:extLst>
            <a:ext uri="{FF2B5EF4-FFF2-40B4-BE49-F238E27FC236}">
              <a16:creationId xmlns:a16="http://schemas.microsoft.com/office/drawing/2014/main" id="{056C7100-E1D2-4ACD-BC80-9A914A774244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79" name="Shape 4">
          <a:extLst>
            <a:ext uri="{FF2B5EF4-FFF2-40B4-BE49-F238E27FC236}">
              <a16:creationId xmlns:a16="http://schemas.microsoft.com/office/drawing/2014/main" id="{5A54D188-D4AD-43A5-B96E-BE27C1E4C3A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80" name="Shape 4">
          <a:extLst>
            <a:ext uri="{FF2B5EF4-FFF2-40B4-BE49-F238E27FC236}">
              <a16:creationId xmlns:a16="http://schemas.microsoft.com/office/drawing/2014/main" id="{99BDAB8D-3F41-4EC7-B0E0-7917F090F4F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81" name="Shape 4">
          <a:extLst>
            <a:ext uri="{FF2B5EF4-FFF2-40B4-BE49-F238E27FC236}">
              <a16:creationId xmlns:a16="http://schemas.microsoft.com/office/drawing/2014/main" id="{B47069DC-C3F0-48D9-B1B1-749124F5A418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82" name="Shape 4">
          <a:extLst>
            <a:ext uri="{FF2B5EF4-FFF2-40B4-BE49-F238E27FC236}">
              <a16:creationId xmlns:a16="http://schemas.microsoft.com/office/drawing/2014/main" id="{B35B4465-C731-45FB-81BA-71DBD0A7A191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83" name="Shape 7">
          <a:extLst>
            <a:ext uri="{FF2B5EF4-FFF2-40B4-BE49-F238E27FC236}">
              <a16:creationId xmlns:a16="http://schemas.microsoft.com/office/drawing/2014/main" id="{CDE75413-CDCB-4627-84D9-06D0C96EF210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84" name="Shape 7">
          <a:extLst>
            <a:ext uri="{FF2B5EF4-FFF2-40B4-BE49-F238E27FC236}">
              <a16:creationId xmlns:a16="http://schemas.microsoft.com/office/drawing/2014/main" id="{CEC4AA17-63CD-475E-B3B2-ECCABF16D64A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85" name="Shape 4">
          <a:extLst>
            <a:ext uri="{FF2B5EF4-FFF2-40B4-BE49-F238E27FC236}">
              <a16:creationId xmlns:a16="http://schemas.microsoft.com/office/drawing/2014/main" id="{34CD740A-00A8-4C0A-81AE-D7644D9ACBBD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44</xdr:row>
      <xdr:rowOff>0</xdr:rowOff>
    </xdr:from>
    <xdr:ext cx="38100" cy="9525"/>
    <xdr:sp macro="" textlink="">
      <xdr:nvSpPr>
        <xdr:cNvPr id="1086" name="Shape 4">
          <a:extLst>
            <a:ext uri="{FF2B5EF4-FFF2-40B4-BE49-F238E27FC236}">
              <a16:creationId xmlns:a16="http://schemas.microsoft.com/office/drawing/2014/main" id="{A880329A-70EF-4581-8992-99E3BEC7747F}"/>
            </a:ext>
          </a:extLst>
        </xdr:cNvPr>
        <xdr:cNvSpPr/>
      </xdr:nvSpPr>
      <xdr:spPr>
        <a:xfrm>
          <a:off x="9334500" y="7038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87" name="Shape 4">
          <a:extLst>
            <a:ext uri="{FF2B5EF4-FFF2-40B4-BE49-F238E27FC236}">
              <a16:creationId xmlns:a16="http://schemas.microsoft.com/office/drawing/2014/main" id="{686BDAA1-7EB7-42BE-9F3C-37F1C5B9C1DE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88" name="Shape 4">
          <a:extLst>
            <a:ext uri="{FF2B5EF4-FFF2-40B4-BE49-F238E27FC236}">
              <a16:creationId xmlns:a16="http://schemas.microsoft.com/office/drawing/2014/main" id="{B2F41540-48D4-4545-A9A6-EF73E8D0AF8E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89" name="Shape 7">
          <a:extLst>
            <a:ext uri="{FF2B5EF4-FFF2-40B4-BE49-F238E27FC236}">
              <a16:creationId xmlns:a16="http://schemas.microsoft.com/office/drawing/2014/main" id="{2AE12FFC-52CF-4C6D-B491-9E06FC38942E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0" name="Shape 7">
          <a:extLst>
            <a:ext uri="{FF2B5EF4-FFF2-40B4-BE49-F238E27FC236}">
              <a16:creationId xmlns:a16="http://schemas.microsoft.com/office/drawing/2014/main" id="{137E9D80-7299-43C9-A90E-CF88271AF40D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1" name="Shape 4">
          <a:extLst>
            <a:ext uri="{FF2B5EF4-FFF2-40B4-BE49-F238E27FC236}">
              <a16:creationId xmlns:a16="http://schemas.microsoft.com/office/drawing/2014/main" id="{D176D798-2327-4F7D-93A6-858BF68C302E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2" name="Shape 4">
          <a:extLst>
            <a:ext uri="{FF2B5EF4-FFF2-40B4-BE49-F238E27FC236}">
              <a16:creationId xmlns:a16="http://schemas.microsoft.com/office/drawing/2014/main" id="{2F62E458-3AAC-4C7C-865F-AF6C0BA2DEC9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3" name="Shape 4">
          <a:extLst>
            <a:ext uri="{FF2B5EF4-FFF2-40B4-BE49-F238E27FC236}">
              <a16:creationId xmlns:a16="http://schemas.microsoft.com/office/drawing/2014/main" id="{BF70423A-CB5A-415F-B6E4-A55506B1A62C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4" name="Shape 4">
          <a:extLst>
            <a:ext uri="{FF2B5EF4-FFF2-40B4-BE49-F238E27FC236}">
              <a16:creationId xmlns:a16="http://schemas.microsoft.com/office/drawing/2014/main" id="{5D1DAAE7-F304-4352-8230-4E16E703826A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5" name="Shape 7">
          <a:extLst>
            <a:ext uri="{FF2B5EF4-FFF2-40B4-BE49-F238E27FC236}">
              <a16:creationId xmlns:a16="http://schemas.microsoft.com/office/drawing/2014/main" id="{946F9403-F620-4D10-9F89-A24BA33CEA66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6" name="Shape 7">
          <a:extLst>
            <a:ext uri="{FF2B5EF4-FFF2-40B4-BE49-F238E27FC236}">
              <a16:creationId xmlns:a16="http://schemas.microsoft.com/office/drawing/2014/main" id="{B4300011-E8D9-403C-BAB8-1BAEFEAD665D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3A8202BF-8266-405E-A283-ADA943BE5CE5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id="{F554787F-EF9E-4B22-85F4-BE0127D07747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id="{E4C6521A-097A-4631-AB6A-5C7B58C004A8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100" name="Shape 4">
          <a:extLst>
            <a:ext uri="{FF2B5EF4-FFF2-40B4-BE49-F238E27FC236}">
              <a16:creationId xmlns:a16="http://schemas.microsoft.com/office/drawing/2014/main" id="{8751BE3D-22A3-4A44-8693-4D75DF3FE29B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101" name="Shape 7">
          <a:extLst>
            <a:ext uri="{FF2B5EF4-FFF2-40B4-BE49-F238E27FC236}">
              <a16:creationId xmlns:a16="http://schemas.microsoft.com/office/drawing/2014/main" id="{10440547-894E-4CA4-8D42-8F868C28AC89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102" name="Shape 7">
          <a:extLst>
            <a:ext uri="{FF2B5EF4-FFF2-40B4-BE49-F238E27FC236}">
              <a16:creationId xmlns:a16="http://schemas.microsoft.com/office/drawing/2014/main" id="{A64C5C01-1868-4C97-B343-A1C5E7E9E008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103" name="Shape 4">
          <a:extLst>
            <a:ext uri="{FF2B5EF4-FFF2-40B4-BE49-F238E27FC236}">
              <a16:creationId xmlns:a16="http://schemas.microsoft.com/office/drawing/2014/main" id="{D8438A69-1FA7-4915-9625-07597DD4C757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5</xdr:col>
      <xdr:colOff>-19050</xdr:colOff>
      <xdr:row>45</xdr:row>
      <xdr:rowOff>0</xdr:rowOff>
    </xdr:from>
    <xdr:ext cx="38100" cy="9525"/>
    <xdr:sp macro="" textlink="">
      <xdr:nvSpPr>
        <xdr:cNvPr id="1104" name="Shape 4">
          <a:extLst>
            <a:ext uri="{FF2B5EF4-FFF2-40B4-BE49-F238E27FC236}">
              <a16:creationId xmlns:a16="http://schemas.microsoft.com/office/drawing/2014/main" id="{62D41965-CBAD-4F14-A53F-80455BBC6810}"/>
            </a:ext>
          </a:extLst>
        </xdr:cNvPr>
        <xdr:cNvSpPr/>
      </xdr:nvSpPr>
      <xdr:spPr>
        <a:xfrm>
          <a:off x="9334500" y="88677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05" name="Shape 5">
          <a:extLst>
            <a:ext uri="{FF2B5EF4-FFF2-40B4-BE49-F238E27FC236}">
              <a16:creationId xmlns:a16="http://schemas.microsoft.com/office/drawing/2014/main" id="{B1099669-FF13-4AE7-843A-F459E2185CBD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06" name="Shape 5">
          <a:extLst>
            <a:ext uri="{FF2B5EF4-FFF2-40B4-BE49-F238E27FC236}">
              <a16:creationId xmlns:a16="http://schemas.microsoft.com/office/drawing/2014/main" id="{8A2F5AF5-C428-42C0-BDE5-6F36F411316F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07" name="Shape 5">
          <a:extLst>
            <a:ext uri="{FF2B5EF4-FFF2-40B4-BE49-F238E27FC236}">
              <a16:creationId xmlns:a16="http://schemas.microsoft.com/office/drawing/2014/main" id="{E119DF53-71C5-43CD-8546-1BAC7A5866E1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08" name="Shape 5">
          <a:extLst>
            <a:ext uri="{FF2B5EF4-FFF2-40B4-BE49-F238E27FC236}">
              <a16:creationId xmlns:a16="http://schemas.microsoft.com/office/drawing/2014/main" id="{788B40A9-E3A0-443E-8661-C24D235F3E44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09" name="Shape 5">
          <a:extLst>
            <a:ext uri="{FF2B5EF4-FFF2-40B4-BE49-F238E27FC236}">
              <a16:creationId xmlns:a16="http://schemas.microsoft.com/office/drawing/2014/main" id="{0AD49D91-560A-4C00-88B9-2463ECDF3AEA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10" name="Shape 4">
          <a:extLst>
            <a:ext uri="{FF2B5EF4-FFF2-40B4-BE49-F238E27FC236}">
              <a16:creationId xmlns:a16="http://schemas.microsoft.com/office/drawing/2014/main" id="{7268F6E1-74C4-43AF-9C21-F614B4C71E95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11" name="Shape 5">
          <a:extLst>
            <a:ext uri="{FF2B5EF4-FFF2-40B4-BE49-F238E27FC236}">
              <a16:creationId xmlns:a16="http://schemas.microsoft.com/office/drawing/2014/main" id="{2F4E8DB5-C043-4004-BE34-A5CE78BB2B0D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id="{BCB9A378-FA81-44DD-8802-A1B854E437BD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13" name="Shape 6">
          <a:extLst>
            <a:ext uri="{FF2B5EF4-FFF2-40B4-BE49-F238E27FC236}">
              <a16:creationId xmlns:a16="http://schemas.microsoft.com/office/drawing/2014/main" id="{5621E3E0-9E88-46D1-80B0-10E2E18C60B5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14" name="Shape 6">
          <a:extLst>
            <a:ext uri="{FF2B5EF4-FFF2-40B4-BE49-F238E27FC236}">
              <a16:creationId xmlns:a16="http://schemas.microsoft.com/office/drawing/2014/main" id="{FE6EB634-A2F9-4B41-AED8-9041EEB53C68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15" name="Shape 6">
          <a:extLst>
            <a:ext uri="{FF2B5EF4-FFF2-40B4-BE49-F238E27FC236}">
              <a16:creationId xmlns:a16="http://schemas.microsoft.com/office/drawing/2014/main" id="{038B530D-B7E7-4C3B-BB74-0326FF908AB7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16" name="Shape 6">
          <a:extLst>
            <a:ext uri="{FF2B5EF4-FFF2-40B4-BE49-F238E27FC236}">
              <a16:creationId xmlns:a16="http://schemas.microsoft.com/office/drawing/2014/main" id="{C5F2EFBD-53D5-4B52-960B-DC6B036D63FD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17" name="Shape 6">
          <a:extLst>
            <a:ext uri="{FF2B5EF4-FFF2-40B4-BE49-F238E27FC236}">
              <a16:creationId xmlns:a16="http://schemas.microsoft.com/office/drawing/2014/main" id="{291E5636-848B-475F-8826-CFB381538D56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18" name="Shape 6">
          <a:extLst>
            <a:ext uri="{FF2B5EF4-FFF2-40B4-BE49-F238E27FC236}">
              <a16:creationId xmlns:a16="http://schemas.microsoft.com/office/drawing/2014/main" id="{9624DE4B-F73D-43A0-861D-4116E4DF6840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19" name="Shape 6">
          <a:extLst>
            <a:ext uri="{FF2B5EF4-FFF2-40B4-BE49-F238E27FC236}">
              <a16:creationId xmlns:a16="http://schemas.microsoft.com/office/drawing/2014/main" id="{90C4CBC4-881A-4CC0-B2F3-124B2A30F0B0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0" name="Shape 6">
          <a:extLst>
            <a:ext uri="{FF2B5EF4-FFF2-40B4-BE49-F238E27FC236}">
              <a16:creationId xmlns:a16="http://schemas.microsoft.com/office/drawing/2014/main" id="{A0CFB936-CF03-41C7-87FA-8C99D6E8C8A2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1" name="Shape 6">
          <a:extLst>
            <a:ext uri="{FF2B5EF4-FFF2-40B4-BE49-F238E27FC236}">
              <a16:creationId xmlns:a16="http://schemas.microsoft.com/office/drawing/2014/main" id="{0CB90BB3-F2D5-4716-8A74-F5E9994B2F91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2" name="Shape 5">
          <a:extLst>
            <a:ext uri="{FF2B5EF4-FFF2-40B4-BE49-F238E27FC236}">
              <a16:creationId xmlns:a16="http://schemas.microsoft.com/office/drawing/2014/main" id="{09F64489-FF66-412A-BFE2-919635587212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3" name="Shape 5">
          <a:extLst>
            <a:ext uri="{FF2B5EF4-FFF2-40B4-BE49-F238E27FC236}">
              <a16:creationId xmlns:a16="http://schemas.microsoft.com/office/drawing/2014/main" id="{E334831C-F7D5-4A1D-B652-466417AF80FD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4" name="Shape 5">
          <a:extLst>
            <a:ext uri="{FF2B5EF4-FFF2-40B4-BE49-F238E27FC236}">
              <a16:creationId xmlns:a16="http://schemas.microsoft.com/office/drawing/2014/main" id="{6D44DBF0-745A-459B-8C58-E4D0FA05DFD2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5" name="Shape 5">
          <a:extLst>
            <a:ext uri="{FF2B5EF4-FFF2-40B4-BE49-F238E27FC236}">
              <a16:creationId xmlns:a16="http://schemas.microsoft.com/office/drawing/2014/main" id="{77BE250F-2D23-4FC3-9CE7-7AA3EBB1668A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6" name="Shape 5">
          <a:extLst>
            <a:ext uri="{FF2B5EF4-FFF2-40B4-BE49-F238E27FC236}">
              <a16:creationId xmlns:a16="http://schemas.microsoft.com/office/drawing/2014/main" id="{6B05DC2E-605F-4EAE-973D-D6A740843F92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7" name="Shape 5">
          <a:extLst>
            <a:ext uri="{FF2B5EF4-FFF2-40B4-BE49-F238E27FC236}">
              <a16:creationId xmlns:a16="http://schemas.microsoft.com/office/drawing/2014/main" id="{6DA0D55C-E593-46FF-BAF0-826E8EF9FD51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8" name="Shape 5">
          <a:extLst>
            <a:ext uri="{FF2B5EF4-FFF2-40B4-BE49-F238E27FC236}">
              <a16:creationId xmlns:a16="http://schemas.microsoft.com/office/drawing/2014/main" id="{D82D932C-31FE-4E01-8080-2D24D036E43E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29" name="Shape 5">
          <a:extLst>
            <a:ext uri="{FF2B5EF4-FFF2-40B4-BE49-F238E27FC236}">
              <a16:creationId xmlns:a16="http://schemas.microsoft.com/office/drawing/2014/main" id="{3FD4D0EA-B73C-495B-AC1C-3F13B840AA50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30" name="Shape 6">
          <a:extLst>
            <a:ext uri="{FF2B5EF4-FFF2-40B4-BE49-F238E27FC236}">
              <a16:creationId xmlns:a16="http://schemas.microsoft.com/office/drawing/2014/main" id="{712C8861-4A8C-46EB-B872-F34C1AF8A45C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31" name="Shape 6">
          <a:extLst>
            <a:ext uri="{FF2B5EF4-FFF2-40B4-BE49-F238E27FC236}">
              <a16:creationId xmlns:a16="http://schemas.microsoft.com/office/drawing/2014/main" id="{62ED45EF-FC6F-4211-9236-EC61A226EF24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32" name="Shape 6">
          <a:extLst>
            <a:ext uri="{FF2B5EF4-FFF2-40B4-BE49-F238E27FC236}">
              <a16:creationId xmlns:a16="http://schemas.microsoft.com/office/drawing/2014/main" id="{DE1E96B3-81DE-49D5-9677-56ECEC5FE2C5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33" name="Shape 6">
          <a:extLst>
            <a:ext uri="{FF2B5EF4-FFF2-40B4-BE49-F238E27FC236}">
              <a16:creationId xmlns:a16="http://schemas.microsoft.com/office/drawing/2014/main" id="{8364EC59-85F8-4C59-8343-61977E6DE451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34" name="Shape 6">
          <a:extLst>
            <a:ext uri="{FF2B5EF4-FFF2-40B4-BE49-F238E27FC236}">
              <a16:creationId xmlns:a16="http://schemas.microsoft.com/office/drawing/2014/main" id="{5A506252-FE38-4325-8C2C-004D22310772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35" name="Shape 7">
          <a:extLst>
            <a:ext uri="{FF2B5EF4-FFF2-40B4-BE49-F238E27FC236}">
              <a16:creationId xmlns:a16="http://schemas.microsoft.com/office/drawing/2014/main" id="{3F96F5DB-327E-4F8A-B2BF-8E7038653D23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36" name="Shape 6">
          <a:extLst>
            <a:ext uri="{FF2B5EF4-FFF2-40B4-BE49-F238E27FC236}">
              <a16:creationId xmlns:a16="http://schemas.microsoft.com/office/drawing/2014/main" id="{99520D01-5209-49AD-BB92-0478B03EEEF3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37" name="Shape 7">
          <a:extLst>
            <a:ext uri="{FF2B5EF4-FFF2-40B4-BE49-F238E27FC236}">
              <a16:creationId xmlns:a16="http://schemas.microsoft.com/office/drawing/2014/main" id="{262F4A1F-48D9-469A-A471-77DF2F44B7DE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28575" cy="9525"/>
    <xdr:sp macro="" textlink="">
      <xdr:nvSpPr>
        <xdr:cNvPr id="1138" name="Shape 6">
          <a:extLst>
            <a:ext uri="{FF2B5EF4-FFF2-40B4-BE49-F238E27FC236}">
              <a16:creationId xmlns:a16="http://schemas.microsoft.com/office/drawing/2014/main" id="{F5D3AF45-D72F-49E8-9492-56CD39FA0899}"/>
            </a:ext>
          </a:extLst>
        </xdr:cNvPr>
        <xdr:cNvSpPr/>
      </xdr:nvSpPr>
      <xdr:spPr>
        <a:xfrm>
          <a:off x="1514475" y="135826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39" name="Shape 6">
          <a:extLst>
            <a:ext uri="{FF2B5EF4-FFF2-40B4-BE49-F238E27FC236}">
              <a16:creationId xmlns:a16="http://schemas.microsoft.com/office/drawing/2014/main" id="{2916B05A-0D4D-4F23-807F-2DF4EDA7E192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40" name="Shape 6">
          <a:extLst>
            <a:ext uri="{FF2B5EF4-FFF2-40B4-BE49-F238E27FC236}">
              <a16:creationId xmlns:a16="http://schemas.microsoft.com/office/drawing/2014/main" id="{95212A06-2CAD-4ACD-9A75-222926BFD987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41" name="Shape 6">
          <a:extLst>
            <a:ext uri="{FF2B5EF4-FFF2-40B4-BE49-F238E27FC236}">
              <a16:creationId xmlns:a16="http://schemas.microsoft.com/office/drawing/2014/main" id="{50774C13-3C82-409F-BA94-B6F9CEEDF140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42" name="Shape 6">
          <a:extLst>
            <a:ext uri="{FF2B5EF4-FFF2-40B4-BE49-F238E27FC236}">
              <a16:creationId xmlns:a16="http://schemas.microsoft.com/office/drawing/2014/main" id="{746FFB4E-AAA3-421D-9D56-E48CA62F8A29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43" name="Shape 6">
          <a:extLst>
            <a:ext uri="{FF2B5EF4-FFF2-40B4-BE49-F238E27FC236}">
              <a16:creationId xmlns:a16="http://schemas.microsoft.com/office/drawing/2014/main" id="{A2346878-398F-40D7-BBA9-3FF4104F8AC5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44" name="Shape 5">
          <a:extLst>
            <a:ext uri="{FF2B5EF4-FFF2-40B4-BE49-F238E27FC236}">
              <a16:creationId xmlns:a16="http://schemas.microsoft.com/office/drawing/2014/main" id="{E11603E8-9612-4840-8307-CC71CAF32A35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45" name="Shape 5">
          <a:extLst>
            <a:ext uri="{FF2B5EF4-FFF2-40B4-BE49-F238E27FC236}">
              <a16:creationId xmlns:a16="http://schemas.microsoft.com/office/drawing/2014/main" id="{91954A5A-C46C-4806-9FEA-D7AC85762D90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46" name="Shape 5">
          <a:extLst>
            <a:ext uri="{FF2B5EF4-FFF2-40B4-BE49-F238E27FC236}">
              <a16:creationId xmlns:a16="http://schemas.microsoft.com/office/drawing/2014/main" id="{8C2CECF2-C08E-475B-B3DF-35E9FC76B9C4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47" name="Shape 5">
          <a:extLst>
            <a:ext uri="{FF2B5EF4-FFF2-40B4-BE49-F238E27FC236}">
              <a16:creationId xmlns:a16="http://schemas.microsoft.com/office/drawing/2014/main" id="{92E7E777-7DFB-40E6-9234-8574DEF4C762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48" name="Shape 5">
          <a:extLst>
            <a:ext uri="{FF2B5EF4-FFF2-40B4-BE49-F238E27FC236}">
              <a16:creationId xmlns:a16="http://schemas.microsoft.com/office/drawing/2014/main" id="{9D72538D-2E17-4064-9B17-A5DF873F23A9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49" name="Shape 4">
          <a:extLst>
            <a:ext uri="{FF2B5EF4-FFF2-40B4-BE49-F238E27FC236}">
              <a16:creationId xmlns:a16="http://schemas.microsoft.com/office/drawing/2014/main" id="{C9360D39-90D5-4FA6-A9D9-804006C70958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50" name="Shape 5">
          <a:extLst>
            <a:ext uri="{FF2B5EF4-FFF2-40B4-BE49-F238E27FC236}">
              <a16:creationId xmlns:a16="http://schemas.microsoft.com/office/drawing/2014/main" id="{20DA8B18-2C87-4D33-8E11-71E0A31087B9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51" name="Shape 4">
          <a:extLst>
            <a:ext uri="{FF2B5EF4-FFF2-40B4-BE49-F238E27FC236}">
              <a16:creationId xmlns:a16="http://schemas.microsoft.com/office/drawing/2014/main" id="{C163AE0E-BBF9-453B-94E5-26B111055A29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52" name="Shape 5">
          <a:extLst>
            <a:ext uri="{FF2B5EF4-FFF2-40B4-BE49-F238E27FC236}">
              <a16:creationId xmlns:a16="http://schemas.microsoft.com/office/drawing/2014/main" id="{022F2D3F-F19E-4795-A040-209FF9E32F8D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53" name="Shape 5">
          <a:extLst>
            <a:ext uri="{FF2B5EF4-FFF2-40B4-BE49-F238E27FC236}">
              <a16:creationId xmlns:a16="http://schemas.microsoft.com/office/drawing/2014/main" id="{88FEC5F1-5BA3-4DB8-B954-31E12120E041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54" name="Shape 5">
          <a:extLst>
            <a:ext uri="{FF2B5EF4-FFF2-40B4-BE49-F238E27FC236}">
              <a16:creationId xmlns:a16="http://schemas.microsoft.com/office/drawing/2014/main" id="{A125056F-75B9-411B-8F52-F66B9C2F662A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55" name="Shape 5">
          <a:extLst>
            <a:ext uri="{FF2B5EF4-FFF2-40B4-BE49-F238E27FC236}">
              <a16:creationId xmlns:a16="http://schemas.microsoft.com/office/drawing/2014/main" id="{B9F1A64E-2567-4AD8-8672-A40A6CD0A92D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56" name="Shape 5">
          <a:extLst>
            <a:ext uri="{FF2B5EF4-FFF2-40B4-BE49-F238E27FC236}">
              <a16:creationId xmlns:a16="http://schemas.microsoft.com/office/drawing/2014/main" id="{E8FF875B-E1BF-43F7-810A-6CA6093D34B9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57" name="Shape 5">
          <a:extLst>
            <a:ext uri="{FF2B5EF4-FFF2-40B4-BE49-F238E27FC236}">
              <a16:creationId xmlns:a16="http://schemas.microsoft.com/office/drawing/2014/main" id="{840FA87C-F5A3-4821-825D-3418449B2636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58" name="Shape 5">
          <a:extLst>
            <a:ext uri="{FF2B5EF4-FFF2-40B4-BE49-F238E27FC236}">
              <a16:creationId xmlns:a16="http://schemas.microsoft.com/office/drawing/2014/main" id="{431E3836-6F9B-40FE-A50D-1AC4C29EFC0D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59" name="Shape 5">
          <a:extLst>
            <a:ext uri="{FF2B5EF4-FFF2-40B4-BE49-F238E27FC236}">
              <a16:creationId xmlns:a16="http://schemas.microsoft.com/office/drawing/2014/main" id="{5030E9D9-72EB-4AEE-B1A7-69AE19F95D07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60" name="Shape 5">
          <a:extLst>
            <a:ext uri="{FF2B5EF4-FFF2-40B4-BE49-F238E27FC236}">
              <a16:creationId xmlns:a16="http://schemas.microsoft.com/office/drawing/2014/main" id="{4EEBFC2C-2285-4B7B-9891-CF7D5273E41B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61" name="Shape 5">
          <a:extLst>
            <a:ext uri="{FF2B5EF4-FFF2-40B4-BE49-F238E27FC236}">
              <a16:creationId xmlns:a16="http://schemas.microsoft.com/office/drawing/2014/main" id="{5F7041B8-98A9-4FB2-9F76-8B01FE949C99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76</xdr:row>
      <xdr:rowOff>0</xdr:rowOff>
    </xdr:from>
    <xdr:ext cx="38100" cy="9525"/>
    <xdr:sp macro="" textlink="">
      <xdr:nvSpPr>
        <xdr:cNvPr id="1162" name="Shape 5">
          <a:extLst>
            <a:ext uri="{FF2B5EF4-FFF2-40B4-BE49-F238E27FC236}">
              <a16:creationId xmlns:a16="http://schemas.microsoft.com/office/drawing/2014/main" id="{8F3EE209-1C6E-43A9-A9A4-2B07B30CF558}"/>
            </a:ext>
          </a:extLst>
        </xdr:cNvPr>
        <xdr:cNvSpPr/>
      </xdr:nvSpPr>
      <xdr:spPr>
        <a:xfrm>
          <a:off x="1514475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77</xdr:row>
      <xdr:rowOff>0</xdr:rowOff>
    </xdr:from>
    <xdr:ext cx="38100" cy="9525"/>
    <xdr:sp macro="" textlink="">
      <xdr:nvSpPr>
        <xdr:cNvPr id="1163" name="Shape 4">
          <a:extLst>
            <a:ext uri="{FF2B5EF4-FFF2-40B4-BE49-F238E27FC236}">
              <a16:creationId xmlns:a16="http://schemas.microsoft.com/office/drawing/2014/main" id="{B1BA20DB-4D79-489A-8F8A-211BB2833F0D}"/>
            </a:ext>
          </a:extLst>
        </xdr:cNvPr>
        <xdr:cNvSpPr/>
      </xdr:nvSpPr>
      <xdr:spPr>
        <a:xfrm>
          <a:off x="7791450" y="137731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77</xdr:row>
      <xdr:rowOff>0</xdr:rowOff>
    </xdr:from>
    <xdr:ext cx="38100" cy="9525"/>
    <xdr:sp macro="" textlink="">
      <xdr:nvSpPr>
        <xdr:cNvPr id="1164" name="Shape 4">
          <a:extLst>
            <a:ext uri="{FF2B5EF4-FFF2-40B4-BE49-F238E27FC236}">
              <a16:creationId xmlns:a16="http://schemas.microsoft.com/office/drawing/2014/main" id="{34C00DAA-7BF2-420D-B642-AB7DC66BCB82}"/>
            </a:ext>
          </a:extLst>
        </xdr:cNvPr>
        <xdr:cNvSpPr/>
      </xdr:nvSpPr>
      <xdr:spPr>
        <a:xfrm>
          <a:off x="7791450" y="137731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77</xdr:row>
      <xdr:rowOff>0</xdr:rowOff>
    </xdr:from>
    <xdr:ext cx="38100" cy="9525"/>
    <xdr:sp macro="" textlink="">
      <xdr:nvSpPr>
        <xdr:cNvPr id="1165" name="Shape 7">
          <a:extLst>
            <a:ext uri="{FF2B5EF4-FFF2-40B4-BE49-F238E27FC236}">
              <a16:creationId xmlns:a16="http://schemas.microsoft.com/office/drawing/2014/main" id="{6F8ED0F9-EF73-407B-A982-049F68C537BF}"/>
            </a:ext>
          </a:extLst>
        </xdr:cNvPr>
        <xdr:cNvSpPr/>
      </xdr:nvSpPr>
      <xdr:spPr>
        <a:xfrm>
          <a:off x="7791450" y="137731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77</xdr:row>
      <xdr:rowOff>0</xdr:rowOff>
    </xdr:from>
    <xdr:ext cx="38100" cy="9525"/>
    <xdr:sp macro="" textlink="">
      <xdr:nvSpPr>
        <xdr:cNvPr id="1166" name="Shape 7">
          <a:extLst>
            <a:ext uri="{FF2B5EF4-FFF2-40B4-BE49-F238E27FC236}">
              <a16:creationId xmlns:a16="http://schemas.microsoft.com/office/drawing/2014/main" id="{3E6DAF43-9FB7-4200-A0D4-477F46E7DC16}"/>
            </a:ext>
          </a:extLst>
        </xdr:cNvPr>
        <xdr:cNvSpPr/>
      </xdr:nvSpPr>
      <xdr:spPr>
        <a:xfrm>
          <a:off x="7791450" y="137731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77</xdr:row>
      <xdr:rowOff>0</xdr:rowOff>
    </xdr:from>
    <xdr:ext cx="38100" cy="9525"/>
    <xdr:sp macro="" textlink="">
      <xdr:nvSpPr>
        <xdr:cNvPr id="1167" name="Shape 4">
          <a:extLst>
            <a:ext uri="{FF2B5EF4-FFF2-40B4-BE49-F238E27FC236}">
              <a16:creationId xmlns:a16="http://schemas.microsoft.com/office/drawing/2014/main" id="{6E243785-E201-44CE-B6DE-2096660E3F46}"/>
            </a:ext>
          </a:extLst>
        </xdr:cNvPr>
        <xdr:cNvSpPr/>
      </xdr:nvSpPr>
      <xdr:spPr>
        <a:xfrm>
          <a:off x="7791450" y="137731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77</xdr:row>
      <xdr:rowOff>0</xdr:rowOff>
    </xdr:from>
    <xdr:ext cx="38100" cy="9525"/>
    <xdr:sp macro="" textlink="">
      <xdr:nvSpPr>
        <xdr:cNvPr id="1168" name="Shape 4">
          <a:extLst>
            <a:ext uri="{FF2B5EF4-FFF2-40B4-BE49-F238E27FC236}">
              <a16:creationId xmlns:a16="http://schemas.microsoft.com/office/drawing/2014/main" id="{3886FCE5-91DD-434B-A4CC-597F462F3B43}"/>
            </a:ext>
          </a:extLst>
        </xdr:cNvPr>
        <xdr:cNvSpPr/>
      </xdr:nvSpPr>
      <xdr:spPr>
        <a:xfrm>
          <a:off x="7791450" y="137731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69" name="Shape 4">
          <a:extLst>
            <a:ext uri="{FF2B5EF4-FFF2-40B4-BE49-F238E27FC236}">
              <a16:creationId xmlns:a16="http://schemas.microsoft.com/office/drawing/2014/main" id="{D33638BA-4A3E-43F4-81D0-B1DD6DF6201B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70" name="Shape 4">
          <a:extLst>
            <a:ext uri="{FF2B5EF4-FFF2-40B4-BE49-F238E27FC236}">
              <a16:creationId xmlns:a16="http://schemas.microsoft.com/office/drawing/2014/main" id="{EC09346E-28CD-4B96-8530-74873E6369FE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71" name="Shape 7">
          <a:extLst>
            <a:ext uri="{FF2B5EF4-FFF2-40B4-BE49-F238E27FC236}">
              <a16:creationId xmlns:a16="http://schemas.microsoft.com/office/drawing/2014/main" id="{83544C22-F161-4E77-A30A-D7316088C7C2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72" name="Shape 7">
          <a:extLst>
            <a:ext uri="{FF2B5EF4-FFF2-40B4-BE49-F238E27FC236}">
              <a16:creationId xmlns:a16="http://schemas.microsoft.com/office/drawing/2014/main" id="{63B78A5B-3158-4087-A755-05C4FA0C2427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73" name="Shape 4">
          <a:extLst>
            <a:ext uri="{FF2B5EF4-FFF2-40B4-BE49-F238E27FC236}">
              <a16:creationId xmlns:a16="http://schemas.microsoft.com/office/drawing/2014/main" id="{15880480-D737-48B1-ACB4-A3D1B89979E1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76</xdr:row>
      <xdr:rowOff>0</xdr:rowOff>
    </xdr:from>
    <xdr:ext cx="38100" cy="9525"/>
    <xdr:sp macro="" textlink="">
      <xdr:nvSpPr>
        <xdr:cNvPr id="1174" name="Shape 4">
          <a:extLst>
            <a:ext uri="{FF2B5EF4-FFF2-40B4-BE49-F238E27FC236}">
              <a16:creationId xmlns:a16="http://schemas.microsoft.com/office/drawing/2014/main" id="{3918264D-E5FE-469F-BFF5-465385EE69B5}"/>
            </a:ext>
          </a:extLst>
        </xdr:cNvPr>
        <xdr:cNvSpPr/>
      </xdr:nvSpPr>
      <xdr:spPr>
        <a:xfrm>
          <a:off x="7791450" y="135826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175" name="Shape 5">
          <a:extLst>
            <a:ext uri="{FF2B5EF4-FFF2-40B4-BE49-F238E27FC236}">
              <a16:creationId xmlns:a16="http://schemas.microsoft.com/office/drawing/2014/main" id="{7116488C-2568-48E3-93BC-8AEB53CE7E35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176" name="Shape 5">
          <a:extLst>
            <a:ext uri="{FF2B5EF4-FFF2-40B4-BE49-F238E27FC236}">
              <a16:creationId xmlns:a16="http://schemas.microsoft.com/office/drawing/2014/main" id="{01DA964C-16E8-4B2C-8178-27EF77E2B572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177" name="Shape 5">
          <a:extLst>
            <a:ext uri="{FF2B5EF4-FFF2-40B4-BE49-F238E27FC236}">
              <a16:creationId xmlns:a16="http://schemas.microsoft.com/office/drawing/2014/main" id="{C61642B8-D74F-4349-A8E0-9A991A7C01C2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178" name="Shape 5">
          <a:extLst>
            <a:ext uri="{FF2B5EF4-FFF2-40B4-BE49-F238E27FC236}">
              <a16:creationId xmlns:a16="http://schemas.microsoft.com/office/drawing/2014/main" id="{12B4E3E8-92A0-4EF9-8587-1F6E0BAF9DE5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179" name="Shape 5">
          <a:extLst>
            <a:ext uri="{FF2B5EF4-FFF2-40B4-BE49-F238E27FC236}">
              <a16:creationId xmlns:a16="http://schemas.microsoft.com/office/drawing/2014/main" id="{8B16CC6D-4800-4DB2-8599-37EA5A7044C0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86</xdr:row>
      <xdr:rowOff>0</xdr:rowOff>
    </xdr:from>
    <xdr:ext cx="38100" cy="9525"/>
    <xdr:sp macro="" textlink="">
      <xdr:nvSpPr>
        <xdr:cNvPr id="1180" name="Shape 4">
          <a:extLst>
            <a:ext uri="{FF2B5EF4-FFF2-40B4-BE49-F238E27FC236}">
              <a16:creationId xmlns:a16="http://schemas.microsoft.com/office/drawing/2014/main" id="{DAC4EB16-7E5C-4FBD-8EEC-E17A2333C22F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181" name="Shape 5">
          <a:extLst>
            <a:ext uri="{FF2B5EF4-FFF2-40B4-BE49-F238E27FC236}">
              <a16:creationId xmlns:a16="http://schemas.microsoft.com/office/drawing/2014/main" id="{0734C31F-6C13-4962-B09D-5F450288F48F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86</xdr:row>
      <xdr:rowOff>0</xdr:rowOff>
    </xdr:from>
    <xdr:ext cx="38100" cy="9525"/>
    <xdr:sp macro="" textlink="">
      <xdr:nvSpPr>
        <xdr:cNvPr id="1182" name="Shape 4">
          <a:extLst>
            <a:ext uri="{FF2B5EF4-FFF2-40B4-BE49-F238E27FC236}">
              <a16:creationId xmlns:a16="http://schemas.microsoft.com/office/drawing/2014/main" id="{43E71C15-F5FB-4352-A1CE-8A968A809421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183" name="Shape 6">
          <a:extLst>
            <a:ext uri="{FF2B5EF4-FFF2-40B4-BE49-F238E27FC236}">
              <a16:creationId xmlns:a16="http://schemas.microsoft.com/office/drawing/2014/main" id="{CAFBC8E3-5063-49AF-A071-D08A4A36098B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184" name="Shape 6">
          <a:extLst>
            <a:ext uri="{FF2B5EF4-FFF2-40B4-BE49-F238E27FC236}">
              <a16:creationId xmlns:a16="http://schemas.microsoft.com/office/drawing/2014/main" id="{F697C19A-39B2-41FA-9514-F55AA163C58C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85" name="Shape 6">
          <a:extLst>
            <a:ext uri="{FF2B5EF4-FFF2-40B4-BE49-F238E27FC236}">
              <a16:creationId xmlns:a16="http://schemas.microsoft.com/office/drawing/2014/main" id="{5C685C30-27C3-4CE6-9117-49459E5F1352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186" name="Shape 6">
          <a:extLst>
            <a:ext uri="{FF2B5EF4-FFF2-40B4-BE49-F238E27FC236}">
              <a16:creationId xmlns:a16="http://schemas.microsoft.com/office/drawing/2014/main" id="{F3B0B1C4-359D-4286-87F1-AD7B1276E3AA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87" name="Shape 6">
          <a:extLst>
            <a:ext uri="{FF2B5EF4-FFF2-40B4-BE49-F238E27FC236}">
              <a16:creationId xmlns:a16="http://schemas.microsoft.com/office/drawing/2014/main" id="{A182244D-B8FC-4109-8264-9CB8E6E0BB99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88" name="Shape 6">
          <a:extLst>
            <a:ext uri="{FF2B5EF4-FFF2-40B4-BE49-F238E27FC236}">
              <a16:creationId xmlns:a16="http://schemas.microsoft.com/office/drawing/2014/main" id="{EAF1F352-20E1-4E05-A3D9-CEEA6DF8834E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89" name="Shape 6">
          <a:extLst>
            <a:ext uri="{FF2B5EF4-FFF2-40B4-BE49-F238E27FC236}">
              <a16:creationId xmlns:a16="http://schemas.microsoft.com/office/drawing/2014/main" id="{5DC80C25-D09C-42A5-85A5-F9B15FE64CB4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0" name="Shape 6">
          <a:extLst>
            <a:ext uri="{FF2B5EF4-FFF2-40B4-BE49-F238E27FC236}">
              <a16:creationId xmlns:a16="http://schemas.microsoft.com/office/drawing/2014/main" id="{03301766-09C1-428F-A6A7-F6E204DC4A7D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1" name="Shape 6">
          <a:extLst>
            <a:ext uri="{FF2B5EF4-FFF2-40B4-BE49-F238E27FC236}">
              <a16:creationId xmlns:a16="http://schemas.microsoft.com/office/drawing/2014/main" id="{CC6665B4-67B8-4444-97DC-0CA6CE77F87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2" name="Shape 5">
          <a:extLst>
            <a:ext uri="{FF2B5EF4-FFF2-40B4-BE49-F238E27FC236}">
              <a16:creationId xmlns:a16="http://schemas.microsoft.com/office/drawing/2014/main" id="{D39A0165-1204-4F54-BE65-7CE1200DED0F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3" name="Shape 5">
          <a:extLst>
            <a:ext uri="{FF2B5EF4-FFF2-40B4-BE49-F238E27FC236}">
              <a16:creationId xmlns:a16="http://schemas.microsoft.com/office/drawing/2014/main" id="{4A1A6AC8-4863-4538-A469-5B95972C8A1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4" name="Shape 5">
          <a:extLst>
            <a:ext uri="{FF2B5EF4-FFF2-40B4-BE49-F238E27FC236}">
              <a16:creationId xmlns:a16="http://schemas.microsoft.com/office/drawing/2014/main" id="{9E19043D-CA4B-4C2E-8FC0-55F733BF43D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5" name="Shape 5">
          <a:extLst>
            <a:ext uri="{FF2B5EF4-FFF2-40B4-BE49-F238E27FC236}">
              <a16:creationId xmlns:a16="http://schemas.microsoft.com/office/drawing/2014/main" id="{6D5B70D2-DCF1-462C-880E-95FB89BB78D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6" name="Shape 5">
          <a:extLst>
            <a:ext uri="{FF2B5EF4-FFF2-40B4-BE49-F238E27FC236}">
              <a16:creationId xmlns:a16="http://schemas.microsoft.com/office/drawing/2014/main" id="{4A1F23F5-EDDA-47E3-AA42-C9485EB111DA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7" name="Shape 5">
          <a:extLst>
            <a:ext uri="{FF2B5EF4-FFF2-40B4-BE49-F238E27FC236}">
              <a16:creationId xmlns:a16="http://schemas.microsoft.com/office/drawing/2014/main" id="{28C32077-24CC-44E4-AD6E-0604FDFF9008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8" name="Shape 5">
          <a:extLst>
            <a:ext uri="{FF2B5EF4-FFF2-40B4-BE49-F238E27FC236}">
              <a16:creationId xmlns:a16="http://schemas.microsoft.com/office/drawing/2014/main" id="{F4ED1CE3-CE63-4DBA-A656-EB62869330E3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199" name="Shape 5">
          <a:extLst>
            <a:ext uri="{FF2B5EF4-FFF2-40B4-BE49-F238E27FC236}">
              <a16:creationId xmlns:a16="http://schemas.microsoft.com/office/drawing/2014/main" id="{A4721322-BB53-489F-B3B7-01331014C109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200" name="Shape 6">
          <a:extLst>
            <a:ext uri="{FF2B5EF4-FFF2-40B4-BE49-F238E27FC236}">
              <a16:creationId xmlns:a16="http://schemas.microsoft.com/office/drawing/2014/main" id="{6FEBC2D6-E369-4A77-97FA-E44E5ECC6CE9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201" name="Shape 6">
          <a:extLst>
            <a:ext uri="{FF2B5EF4-FFF2-40B4-BE49-F238E27FC236}">
              <a16:creationId xmlns:a16="http://schemas.microsoft.com/office/drawing/2014/main" id="{C483F977-3754-4025-98BD-BE46C46E3A42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202" name="Shape 6">
          <a:extLst>
            <a:ext uri="{FF2B5EF4-FFF2-40B4-BE49-F238E27FC236}">
              <a16:creationId xmlns:a16="http://schemas.microsoft.com/office/drawing/2014/main" id="{3E4656A9-970F-4C1B-ACE3-E32FD22AD38E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203" name="Shape 6">
          <a:extLst>
            <a:ext uri="{FF2B5EF4-FFF2-40B4-BE49-F238E27FC236}">
              <a16:creationId xmlns:a16="http://schemas.microsoft.com/office/drawing/2014/main" id="{6BC1A528-FF4D-4D49-A7DD-7891E86755F2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204" name="Shape 6">
          <a:extLst>
            <a:ext uri="{FF2B5EF4-FFF2-40B4-BE49-F238E27FC236}">
              <a16:creationId xmlns:a16="http://schemas.microsoft.com/office/drawing/2014/main" id="{EEC3598D-0D89-475E-AAD1-3C1B67469834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86</xdr:row>
      <xdr:rowOff>0</xdr:rowOff>
    </xdr:from>
    <xdr:ext cx="38100" cy="9525"/>
    <xdr:sp macro="" textlink="">
      <xdr:nvSpPr>
        <xdr:cNvPr id="1205" name="Shape 7">
          <a:extLst>
            <a:ext uri="{FF2B5EF4-FFF2-40B4-BE49-F238E27FC236}">
              <a16:creationId xmlns:a16="http://schemas.microsoft.com/office/drawing/2014/main" id="{4ECD6DE6-5F2E-43BC-A6B7-AC42F0E271D0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206" name="Shape 6">
          <a:extLst>
            <a:ext uri="{FF2B5EF4-FFF2-40B4-BE49-F238E27FC236}">
              <a16:creationId xmlns:a16="http://schemas.microsoft.com/office/drawing/2014/main" id="{3AC1C22F-239D-420E-8BD8-2726B8DF97AA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86</xdr:row>
      <xdr:rowOff>0</xdr:rowOff>
    </xdr:from>
    <xdr:ext cx="38100" cy="9525"/>
    <xdr:sp macro="" textlink="">
      <xdr:nvSpPr>
        <xdr:cNvPr id="1207" name="Shape 7">
          <a:extLst>
            <a:ext uri="{FF2B5EF4-FFF2-40B4-BE49-F238E27FC236}">
              <a16:creationId xmlns:a16="http://schemas.microsoft.com/office/drawing/2014/main" id="{E7773891-C520-429F-B77D-32FBF218ED0C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28575" cy="9525"/>
    <xdr:sp macro="" textlink="">
      <xdr:nvSpPr>
        <xdr:cNvPr id="1208" name="Shape 6">
          <a:extLst>
            <a:ext uri="{FF2B5EF4-FFF2-40B4-BE49-F238E27FC236}">
              <a16:creationId xmlns:a16="http://schemas.microsoft.com/office/drawing/2014/main" id="{FBC59F21-939D-4689-9736-9D85841A6EB8}"/>
            </a:ext>
          </a:extLst>
        </xdr:cNvPr>
        <xdr:cNvSpPr/>
      </xdr:nvSpPr>
      <xdr:spPr>
        <a:xfrm>
          <a:off x="1514475" y="2524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09" name="Shape 6">
          <a:extLst>
            <a:ext uri="{FF2B5EF4-FFF2-40B4-BE49-F238E27FC236}">
              <a16:creationId xmlns:a16="http://schemas.microsoft.com/office/drawing/2014/main" id="{5B4EA9FD-A27E-4E5F-9E46-43CC05D2C76A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10" name="Shape 6">
          <a:extLst>
            <a:ext uri="{FF2B5EF4-FFF2-40B4-BE49-F238E27FC236}">
              <a16:creationId xmlns:a16="http://schemas.microsoft.com/office/drawing/2014/main" id="{F3595BE1-08FB-425B-9170-24FE9AA5752A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11" name="Shape 6">
          <a:extLst>
            <a:ext uri="{FF2B5EF4-FFF2-40B4-BE49-F238E27FC236}">
              <a16:creationId xmlns:a16="http://schemas.microsoft.com/office/drawing/2014/main" id="{BA682AA7-A007-469E-AC8F-D70E1A7C9C8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12" name="Shape 6">
          <a:extLst>
            <a:ext uri="{FF2B5EF4-FFF2-40B4-BE49-F238E27FC236}">
              <a16:creationId xmlns:a16="http://schemas.microsoft.com/office/drawing/2014/main" id="{72E4FAF9-4C5E-4610-A18B-D6FB862FB08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13" name="Shape 6">
          <a:extLst>
            <a:ext uri="{FF2B5EF4-FFF2-40B4-BE49-F238E27FC236}">
              <a16:creationId xmlns:a16="http://schemas.microsoft.com/office/drawing/2014/main" id="{81978CAA-36EC-4A11-8338-803A184BAD7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14" name="Shape 5">
          <a:extLst>
            <a:ext uri="{FF2B5EF4-FFF2-40B4-BE49-F238E27FC236}">
              <a16:creationId xmlns:a16="http://schemas.microsoft.com/office/drawing/2014/main" id="{F7F5C3AB-7FA5-49B9-9B5C-51A6C22FDBD3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15" name="Shape 5">
          <a:extLst>
            <a:ext uri="{FF2B5EF4-FFF2-40B4-BE49-F238E27FC236}">
              <a16:creationId xmlns:a16="http://schemas.microsoft.com/office/drawing/2014/main" id="{CEC3ECBB-AD0B-4AB0-ADBD-BE49BE62ACC6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16" name="Shape 5">
          <a:extLst>
            <a:ext uri="{FF2B5EF4-FFF2-40B4-BE49-F238E27FC236}">
              <a16:creationId xmlns:a16="http://schemas.microsoft.com/office/drawing/2014/main" id="{BE0D19E8-CCB2-4F04-95CC-9F051253CE4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17" name="Shape 5">
          <a:extLst>
            <a:ext uri="{FF2B5EF4-FFF2-40B4-BE49-F238E27FC236}">
              <a16:creationId xmlns:a16="http://schemas.microsoft.com/office/drawing/2014/main" id="{8E5DA8C4-7D6D-4D7E-B2B1-6A412EE0FAF4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18" name="Shape 5">
          <a:extLst>
            <a:ext uri="{FF2B5EF4-FFF2-40B4-BE49-F238E27FC236}">
              <a16:creationId xmlns:a16="http://schemas.microsoft.com/office/drawing/2014/main" id="{AA373762-0F74-4A95-A567-43942C50DDB2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86</xdr:row>
      <xdr:rowOff>0</xdr:rowOff>
    </xdr:from>
    <xdr:ext cx="38100" cy="9525"/>
    <xdr:sp macro="" textlink="">
      <xdr:nvSpPr>
        <xdr:cNvPr id="1219" name="Shape 4">
          <a:extLst>
            <a:ext uri="{FF2B5EF4-FFF2-40B4-BE49-F238E27FC236}">
              <a16:creationId xmlns:a16="http://schemas.microsoft.com/office/drawing/2014/main" id="{9C8C66BF-0FA8-4439-9EB3-B717BAD70106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20" name="Shape 5">
          <a:extLst>
            <a:ext uri="{FF2B5EF4-FFF2-40B4-BE49-F238E27FC236}">
              <a16:creationId xmlns:a16="http://schemas.microsoft.com/office/drawing/2014/main" id="{9FA4FFD8-9C07-4DE8-BCA7-0630538D5EC4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86</xdr:row>
      <xdr:rowOff>0</xdr:rowOff>
    </xdr:from>
    <xdr:ext cx="38100" cy="9525"/>
    <xdr:sp macro="" textlink="">
      <xdr:nvSpPr>
        <xdr:cNvPr id="1221" name="Shape 4">
          <a:extLst>
            <a:ext uri="{FF2B5EF4-FFF2-40B4-BE49-F238E27FC236}">
              <a16:creationId xmlns:a16="http://schemas.microsoft.com/office/drawing/2014/main" id="{3E19A636-3515-4F1C-B005-4988057404D1}"/>
            </a:ext>
          </a:extLst>
        </xdr:cNvPr>
        <xdr:cNvSpPr/>
      </xdr:nvSpPr>
      <xdr:spPr>
        <a:xfrm>
          <a:off x="7791450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22" name="Shape 5">
          <a:extLst>
            <a:ext uri="{FF2B5EF4-FFF2-40B4-BE49-F238E27FC236}">
              <a16:creationId xmlns:a16="http://schemas.microsoft.com/office/drawing/2014/main" id="{ED45CF83-4C03-440F-ACD5-05DD3AC1E528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23" name="Shape 5">
          <a:extLst>
            <a:ext uri="{FF2B5EF4-FFF2-40B4-BE49-F238E27FC236}">
              <a16:creationId xmlns:a16="http://schemas.microsoft.com/office/drawing/2014/main" id="{A8F42E6D-9FD2-4A66-A498-77913E46A54D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24" name="Shape 5">
          <a:extLst>
            <a:ext uri="{FF2B5EF4-FFF2-40B4-BE49-F238E27FC236}">
              <a16:creationId xmlns:a16="http://schemas.microsoft.com/office/drawing/2014/main" id="{EB1AF06B-07BE-4192-9DBC-31288B1BE25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25" name="Shape 5">
          <a:extLst>
            <a:ext uri="{FF2B5EF4-FFF2-40B4-BE49-F238E27FC236}">
              <a16:creationId xmlns:a16="http://schemas.microsoft.com/office/drawing/2014/main" id="{72659E27-43FC-499E-B704-17C16DA05B7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26" name="Shape 5">
          <a:extLst>
            <a:ext uri="{FF2B5EF4-FFF2-40B4-BE49-F238E27FC236}">
              <a16:creationId xmlns:a16="http://schemas.microsoft.com/office/drawing/2014/main" id="{442ED06D-F27A-432F-920C-16292FC14DE2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27" name="Shape 5">
          <a:extLst>
            <a:ext uri="{FF2B5EF4-FFF2-40B4-BE49-F238E27FC236}">
              <a16:creationId xmlns:a16="http://schemas.microsoft.com/office/drawing/2014/main" id="{1FC84A11-9B3B-4B7D-B85E-A1D1971A8119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28" name="Shape 5">
          <a:extLst>
            <a:ext uri="{FF2B5EF4-FFF2-40B4-BE49-F238E27FC236}">
              <a16:creationId xmlns:a16="http://schemas.microsoft.com/office/drawing/2014/main" id="{EB5DB58C-A32F-4BF1-A75A-739315073EEC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29" name="Shape 5">
          <a:extLst>
            <a:ext uri="{FF2B5EF4-FFF2-40B4-BE49-F238E27FC236}">
              <a16:creationId xmlns:a16="http://schemas.microsoft.com/office/drawing/2014/main" id="{A48A6AF9-8E75-4177-9E5C-FAB6E3AC3750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30" name="Shape 5">
          <a:extLst>
            <a:ext uri="{FF2B5EF4-FFF2-40B4-BE49-F238E27FC236}">
              <a16:creationId xmlns:a16="http://schemas.microsoft.com/office/drawing/2014/main" id="{629F8618-147D-41EA-82F7-8BEC70411457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31" name="Shape 5">
          <a:extLst>
            <a:ext uri="{FF2B5EF4-FFF2-40B4-BE49-F238E27FC236}">
              <a16:creationId xmlns:a16="http://schemas.microsoft.com/office/drawing/2014/main" id="{E91106C8-ED11-4F49-ABF0-DA970D306CDB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86</xdr:row>
      <xdr:rowOff>0</xdr:rowOff>
    </xdr:from>
    <xdr:ext cx="38100" cy="9525"/>
    <xdr:sp macro="" textlink="">
      <xdr:nvSpPr>
        <xdr:cNvPr id="1232" name="Shape 5">
          <a:extLst>
            <a:ext uri="{FF2B5EF4-FFF2-40B4-BE49-F238E27FC236}">
              <a16:creationId xmlns:a16="http://schemas.microsoft.com/office/drawing/2014/main" id="{9B80AA6B-A895-498E-82C6-4055ECE85A03}"/>
            </a:ext>
          </a:extLst>
        </xdr:cNvPr>
        <xdr:cNvSpPr/>
      </xdr:nvSpPr>
      <xdr:spPr>
        <a:xfrm>
          <a:off x="1514475" y="2524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33" name="Shape 5">
          <a:extLst>
            <a:ext uri="{FF2B5EF4-FFF2-40B4-BE49-F238E27FC236}">
              <a16:creationId xmlns:a16="http://schemas.microsoft.com/office/drawing/2014/main" id="{FE0A255D-6492-4642-AD3A-D4A65D6CDBEB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34" name="Shape 5">
          <a:extLst>
            <a:ext uri="{FF2B5EF4-FFF2-40B4-BE49-F238E27FC236}">
              <a16:creationId xmlns:a16="http://schemas.microsoft.com/office/drawing/2014/main" id="{9D5B6279-FA56-4DFC-ACFD-EABD14BCCC2E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35" name="Shape 5">
          <a:extLst>
            <a:ext uri="{FF2B5EF4-FFF2-40B4-BE49-F238E27FC236}">
              <a16:creationId xmlns:a16="http://schemas.microsoft.com/office/drawing/2014/main" id="{C05C4691-71A6-4C33-8B33-ECF11BA4AD8F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36" name="Shape 5">
          <a:extLst>
            <a:ext uri="{FF2B5EF4-FFF2-40B4-BE49-F238E27FC236}">
              <a16:creationId xmlns:a16="http://schemas.microsoft.com/office/drawing/2014/main" id="{F18DC9D7-80C0-48FF-B0E7-2F374DA716F7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37" name="Shape 5">
          <a:extLst>
            <a:ext uri="{FF2B5EF4-FFF2-40B4-BE49-F238E27FC236}">
              <a16:creationId xmlns:a16="http://schemas.microsoft.com/office/drawing/2014/main" id="{8EEE899E-FD51-4345-9153-0B8F1AB86B1C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38" name="Shape 4">
          <a:extLst>
            <a:ext uri="{FF2B5EF4-FFF2-40B4-BE49-F238E27FC236}">
              <a16:creationId xmlns:a16="http://schemas.microsoft.com/office/drawing/2014/main" id="{D256A75D-1371-46F0-BAF0-F9D6489ACC5B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39" name="Shape 5">
          <a:extLst>
            <a:ext uri="{FF2B5EF4-FFF2-40B4-BE49-F238E27FC236}">
              <a16:creationId xmlns:a16="http://schemas.microsoft.com/office/drawing/2014/main" id="{9E807FA0-FFE5-467E-94C5-1AC802B514A0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40" name="Shape 4">
          <a:extLst>
            <a:ext uri="{FF2B5EF4-FFF2-40B4-BE49-F238E27FC236}">
              <a16:creationId xmlns:a16="http://schemas.microsoft.com/office/drawing/2014/main" id="{ABE59FD5-B437-4CA0-83A3-C9298A8F994D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41" name="Shape 6">
          <a:extLst>
            <a:ext uri="{FF2B5EF4-FFF2-40B4-BE49-F238E27FC236}">
              <a16:creationId xmlns:a16="http://schemas.microsoft.com/office/drawing/2014/main" id="{8C6E105D-3982-4992-98C0-FCA5A53E0FE4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42" name="Shape 6">
          <a:extLst>
            <a:ext uri="{FF2B5EF4-FFF2-40B4-BE49-F238E27FC236}">
              <a16:creationId xmlns:a16="http://schemas.microsoft.com/office/drawing/2014/main" id="{E1BE72F0-BAAA-4EF4-9430-36EFFB2F7891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43" name="Shape 6">
          <a:extLst>
            <a:ext uri="{FF2B5EF4-FFF2-40B4-BE49-F238E27FC236}">
              <a16:creationId xmlns:a16="http://schemas.microsoft.com/office/drawing/2014/main" id="{C3CA4017-A821-4628-AC05-54353CDFD22D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44" name="Shape 6">
          <a:extLst>
            <a:ext uri="{FF2B5EF4-FFF2-40B4-BE49-F238E27FC236}">
              <a16:creationId xmlns:a16="http://schemas.microsoft.com/office/drawing/2014/main" id="{1D9B14D2-7A75-4451-8CCD-BA3726190FD0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45" name="Shape 6">
          <a:extLst>
            <a:ext uri="{FF2B5EF4-FFF2-40B4-BE49-F238E27FC236}">
              <a16:creationId xmlns:a16="http://schemas.microsoft.com/office/drawing/2014/main" id="{45D1D18C-F54B-4A1B-B4B5-7B4240B77A65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46" name="Shape 6">
          <a:extLst>
            <a:ext uri="{FF2B5EF4-FFF2-40B4-BE49-F238E27FC236}">
              <a16:creationId xmlns:a16="http://schemas.microsoft.com/office/drawing/2014/main" id="{8E71DDEE-817B-4A5D-92CE-B562A371F8BA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47" name="Shape 6">
          <a:extLst>
            <a:ext uri="{FF2B5EF4-FFF2-40B4-BE49-F238E27FC236}">
              <a16:creationId xmlns:a16="http://schemas.microsoft.com/office/drawing/2014/main" id="{13EFB853-23AC-437A-9D36-62B3F794474F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48" name="Shape 6">
          <a:extLst>
            <a:ext uri="{FF2B5EF4-FFF2-40B4-BE49-F238E27FC236}">
              <a16:creationId xmlns:a16="http://schemas.microsoft.com/office/drawing/2014/main" id="{C9128039-F0D2-4DAB-B81D-3C7C6B041666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49" name="Shape 6">
          <a:extLst>
            <a:ext uri="{FF2B5EF4-FFF2-40B4-BE49-F238E27FC236}">
              <a16:creationId xmlns:a16="http://schemas.microsoft.com/office/drawing/2014/main" id="{A43197D1-2845-46B1-B59F-4C6DA38BC9B0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50" name="Shape 5">
          <a:extLst>
            <a:ext uri="{FF2B5EF4-FFF2-40B4-BE49-F238E27FC236}">
              <a16:creationId xmlns:a16="http://schemas.microsoft.com/office/drawing/2014/main" id="{28F34EE6-1690-4E8B-A893-40AB5C65C7CC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51" name="Shape 5">
          <a:extLst>
            <a:ext uri="{FF2B5EF4-FFF2-40B4-BE49-F238E27FC236}">
              <a16:creationId xmlns:a16="http://schemas.microsoft.com/office/drawing/2014/main" id="{6B172D74-7659-48BA-AB52-D85A26D0C771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52" name="Shape 5">
          <a:extLst>
            <a:ext uri="{FF2B5EF4-FFF2-40B4-BE49-F238E27FC236}">
              <a16:creationId xmlns:a16="http://schemas.microsoft.com/office/drawing/2014/main" id="{39EC8431-1925-4163-BEB6-EC4C742BF3EC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53" name="Shape 5">
          <a:extLst>
            <a:ext uri="{FF2B5EF4-FFF2-40B4-BE49-F238E27FC236}">
              <a16:creationId xmlns:a16="http://schemas.microsoft.com/office/drawing/2014/main" id="{9C2465EE-1544-4527-9CB3-28EB9AF86395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54" name="Shape 5">
          <a:extLst>
            <a:ext uri="{FF2B5EF4-FFF2-40B4-BE49-F238E27FC236}">
              <a16:creationId xmlns:a16="http://schemas.microsoft.com/office/drawing/2014/main" id="{939913D2-16A7-46D0-80FC-F0E1A2DB1356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55" name="Shape 5">
          <a:extLst>
            <a:ext uri="{FF2B5EF4-FFF2-40B4-BE49-F238E27FC236}">
              <a16:creationId xmlns:a16="http://schemas.microsoft.com/office/drawing/2014/main" id="{3F1BA417-3B34-4DBE-819D-5307EB971584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56" name="Shape 5">
          <a:extLst>
            <a:ext uri="{FF2B5EF4-FFF2-40B4-BE49-F238E27FC236}">
              <a16:creationId xmlns:a16="http://schemas.microsoft.com/office/drawing/2014/main" id="{53F0D6F7-4C80-4561-9129-09AC1D49ED8D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57" name="Shape 5">
          <a:extLst>
            <a:ext uri="{FF2B5EF4-FFF2-40B4-BE49-F238E27FC236}">
              <a16:creationId xmlns:a16="http://schemas.microsoft.com/office/drawing/2014/main" id="{D823F1AA-17E7-4860-AB18-9FA322E643A9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58" name="Shape 6">
          <a:extLst>
            <a:ext uri="{FF2B5EF4-FFF2-40B4-BE49-F238E27FC236}">
              <a16:creationId xmlns:a16="http://schemas.microsoft.com/office/drawing/2014/main" id="{CEF4C6BA-A6BE-469C-AE81-4BB707569D3E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59" name="Shape 6">
          <a:extLst>
            <a:ext uri="{FF2B5EF4-FFF2-40B4-BE49-F238E27FC236}">
              <a16:creationId xmlns:a16="http://schemas.microsoft.com/office/drawing/2014/main" id="{56FE9D4B-ACD8-468E-956E-05F6A96491E4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60" name="Shape 6">
          <a:extLst>
            <a:ext uri="{FF2B5EF4-FFF2-40B4-BE49-F238E27FC236}">
              <a16:creationId xmlns:a16="http://schemas.microsoft.com/office/drawing/2014/main" id="{46E4CA36-FFB0-4CA8-8708-5EDCF32A3B58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61" name="Shape 6">
          <a:extLst>
            <a:ext uri="{FF2B5EF4-FFF2-40B4-BE49-F238E27FC236}">
              <a16:creationId xmlns:a16="http://schemas.microsoft.com/office/drawing/2014/main" id="{3837CE7E-77BC-48D1-8057-F88093094BE1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62" name="Shape 6">
          <a:extLst>
            <a:ext uri="{FF2B5EF4-FFF2-40B4-BE49-F238E27FC236}">
              <a16:creationId xmlns:a16="http://schemas.microsoft.com/office/drawing/2014/main" id="{E106D537-19AE-4E9A-AB05-D969DECFE0EC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63" name="Shape 7">
          <a:extLst>
            <a:ext uri="{FF2B5EF4-FFF2-40B4-BE49-F238E27FC236}">
              <a16:creationId xmlns:a16="http://schemas.microsoft.com/office/drawing/2014/main" id="{BF7FF0EB-9EF8-4A06-9799-55738B6870B6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64" name="Shape 6">
          <a:extLst>
            <a:ext uri="{FF2B5EF4-FFF2-40B4-BE49-F238E27FC236}">
              <a16:creationId xmlns:a16="http://schemas.microsoft.com/office/drawing/2014/main" id="{A72D8343-B16E-473C-A42D-140A18E39AC8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65" name="Shape 7">
          <a:extLst>
            <a:ext uri="{FF2B5EF4-FFF2-40B4-BE49-F238E27FC236}">
              <a16:creationId xmlns:a16="http://schemas.microsoft.com/office/drawing/2014/main" id="{837B1C4E-7313-470D-A338-4470DDA44A53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28575" cy="9525"/>
    <xdr:sp macro="" textlink="">
      <xdr:nvSpPr>
        <xdr:cNvPr id="1266" name="Shape 6">
          <a:extLst>
            <a:ext uri="{FF2B5EF4-FFF2-40B4-BE49-F238E27FC236}">
              <a16:creationId xmlns:a16="http://schemas.microsoft.com/office/drawing/2014/main" id="{A3559434-07F9-409E-B7F4-E13ABDDE212A}"/>
            </a:ext>
          </a:extLst>
        </xdr:cNvPr>
        <xdr:cNvSpPr/>
      </xdr:nvSpPr>
      <xdr:spPr>
        <a:xfrm>
          <a:off x="1466850" y="160734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67" name="Shape 6">
          <a:extLst>
            <a:ext uri="{FF2B5EF4-FFF2-40B4-BE49-F238E27FC236}">
              <a16:creationId xmlns:a16="http://schemas.microsoft.com/office/drawing/2014/main" id="{1A1B9890-F81C-4A62-8ED9-605B14CA16BD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68" name="Shape 6">
          <a:extLst>
            <a:ext uri="{FF2B5EF4-FFF2-40B4-BE49-F238E27FC236}">
              <a16:creationId xmlns:a16="http://schemas.microsoft.com/office/drawing/2014/main" id="{2C6EE8D6-60CD-48D0-9536-BB7A867E146E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69" name="Shape 6">
          <a:extLst>
            <a:ext uri="{FF2B5EF4-FFF2-40B4-BE49-F238E27FC236}">
              <a16:creationId xmlns:a16="http://schemas.microsoft.com/office/drawing/2014/main" id="{F3458869-B423-4560-9C2B-A6AC6243B06B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70" name="Shape 6">
          <a:extLst>
            <a:ext uri="{FF2B5EF4-FFF2-40B4-BE49-F238E27FC236}">
              <a16:creationId xmlns:a16="http://schemas.microsoft.com/office/drawing/2014/main" id="{1C2A0C8D-7037-42D6-A7D8-61D320B1F3DF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71" name="Shape 6">
          <a:extLst>
            <a:ext uri="{FF2B5EF4-FFF2-40B4-BE49-F238E27FC236}">
              <a16:creationId xmlns:a16="http://schemas.microsoft.com/office/drawing/2014/main" id="{667CA8B3-FD19-4FD0-B292-441C3468F910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72" name="Shape 5">
          <a:extLst>
            <a:ext uri="{FF2B5EF4-FFF2-40B4-BE49-F238E27FC236}">
              <a16:creationId xmlns:a16="http://schemas.microsoft.com/office/drawing/2014/main" id="{23B98C67-E18F-429B-88A5-DEF1FBB81E37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73" name="Shape 5">
          <a:extLst>
            <a:ext uri="{FF2B5EF4-FFF2-40B4-BE49-F238E27FC236}">
              <a16:creationId xmlns:a16="http://schemas.microsoft.com/office/drawing/2014/main" id="{A185A9DE-2D3E-4D00-8CF6-E4B051A29ED3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74" name="Shape 5">
          <a:extLst>
            <a:ext uri="{FF2B5EF4-FFF2-40B4-BE49-F238E27FC236}">
              <a16:creationId xmlns:a16="http://schemas.microsoft.com/office/drawing/2014/main" id="{63997CF6-8B46-46D9-84FA-7E1BD7033C7B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75" name="Shape 5">
          <a:extLst>
            <a:ext uri="{FF2B5EF4-FFF2-40B4-BE49-F238E27FC236}">
              <a16:creationId xmlns:a16="http://schemas.microsoft.com/office/drawing/2014/main" id="{8D2E835C-43F2-466F-8F55-7A0E5AE652D3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76" name="Shape 5">
          <a:extLst>
            <a:ext uri="{FF2B5EF4-FFF2-40B4-BE49-F238E27FC236}">
              <a16:creationId xmlns:a16="http://schemas.microsoft.com/office/drawing/2014/main" id="{F9A074D5-D8F6-4236-BE88-970C658115E3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77" name="Shape 4">
          <a:extLst>
            <a:ext uri="{FF2B5EF4-FFF2-40B4-BE49-F238E27FC236}">
              <a16:creationId xmlns:a16="http://schemas.microsoft.com/office/drawing/2014/main" id="{C99140F9-0DBB-45C6-9E1B-476C7EF613A0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78" name="Shape 5">
          <a:extLst>
            <a:ext uri="{FF2B5EF4-FFF2-40B4-BE49-F238E27FC236}">
              <a16:creationId xmlns:a16="http://schemas.microsoft.com/office/drawing/2014/main" id="{C4B7EB96-311D-4EDD-81DD-3E9E4CB180C6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79" name="Shape 4">
          <a:extLst>
            <a:ext uri="{FF2B5EF4-FFF2-40B4-BE49-F238E27FC236}">
              <a16:creationId xmlns:a16="http://schemas.microsoft.com/office/drawing/2014/main" id="{FF3A2665-9A04-4083-8945-9629EE8A8397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0" name="Shape 5">
          <a:extLst>
            <a:ext uri="{FF2B5EF4-FFF2-40B4-BE49-F238E27FC236}">
              <a16:creationId xmlns:a16="http://schemas.microsoft.com/office/drawing/2014/main" id="{6439DDD9-DC31-4A98-88C6-DCFAA0B7B7B3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1" name="Shape 5">
          <a:extLst>
            <a:ext uri="{FF2B5EF4-FFF2-40B4-BE49-F238E27FC236}">
              <a16:creationId xmlns:a16="http://schemas.microsoft.com/office/drawing/2014/main" id="{31CA530B-9B27-4CB0-99CB-47A84DCCB10B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2" name="Shape 5">
          <a:extLst>
            <a:ext uri="{FF2B5EF4-FFF2-40B4-BE49-F238E27FC236}">
              <a16:creationId xmlns:a16="http://schemas.microsoft.com/office/drawing/2014/main" id="{CD9C5110-FF0E-4B19-9A10-F3D63F16003A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3" name="Shape 5">
          <a:extLst>
            <a:ext uri="{FF2B5EF4-FFF2-40B4-BE49-F238E27FC236}">
              <a16:creationId xmlns:a16="http://schemas.microsoft.com/office/drawing/2014/main" id="{AE9B37AA-ECDF-4DCA-B5DD-542ECB912209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4" name="Shape 5">
          <a:extLst>
            <a:ext uri="{FF2B5EF4-FFF2-40B4-BE49-F238E27FC236}">
              <a16:creationId xmlns:a16="http://schemas.microsoft.com/office/drawing/2014/main" id="{D2178D9B-CE3F-462D-AFBA-FEAB17D63732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5" name="Shape 5">
          <a:extLst>
            <a:ext uri="{FF2B5EF4-FFF2-40B4-BE49-F238E27FC236}">
              <a16:creationId xmlns:a16="http://schemas.microsoft.com/office/drawing/2014/main" id="{90D5491C-5374-4DA5-9AFC-AD5CA7200256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6" name="Shape 5">
          <a:extLst>
            <a:ext uri="{FF2B5EF4-FFF2-40B4-BE49-F238E27FC236}">
              <a16:creationId xmlns:a16="http://schemas.microsoft.com/office/drawing/2014/main" id="{F56CBAA6-1E20-410E-B1AF-3012A1D77C01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7" name="Shape 5">
          <a:extLst>
            <a:ext uri="{FF2B5EF4-FFF2-40B4-BE49-F238E27FC236}">
              <a16:creationId xmlns:a16="http://schemas.microsoft.com/office/drawing/2014/main" id="{4411AC77-8722-41B9-81F8-4F47865BC627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8" name="Shape 5">
          <a:extLst>
            <a:ext uri="{FF2B5EF4-FFF2-40B4-BE49-F238E27FC236}">
              <a16:creationId xmlns:a16="http://schemas.microsoft.com/office/drawing/2014/main" id="{308D0AD8-3593-48B8-AB32-60095D8C3155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89" name="Shape 5">
          <a:extLst>
            <a:ext uri="{FF2B5EF4-FFF2-40B4-BE49-F238E27FC236}">
              <a16:creationId xmlns:a16="http://schemas.microsoft.com/office/drawing/2014/main" id="{FD81B497-1EA6-4B07-A1B8-5277556D1A58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87</xdr:row>
      <xdr:rowOff>0</xdr:rowOff>
    </xdr:from>
    <xdr:ext cx="38100" cy="9525"/>
    <xdr:sp macro="" textlink="">
      <xdr:nvSpPr>
        <xdr:cNvPr id="1290" name="Shape 5">
          <a:extLst>
            <a:ext uri="{FF2B5EF4-FFF2-40B4-BE49-F238E27FC236}">
              <a16:creationId xmlns:a16="http://schemas.microsoft.com/office/drawing/2014/main" id="{B26C6420-224B-4B7D-9963-8A4BA0799BCB}"/>
            </a:ext>
          </a:extLst>
        </xdr:cNvPr>
        <xdr:cNvSpPr/>
      </xdr:nvSpPr>
      <xdr:spPr>
        <a:xfrm>
          <a:off x="1466850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91" name="Shape 4">
          <a:extLst>
            <a:ext uri="{FF2B5EF4-FFF2-40B4-BE49-F238E27FC236}">
              <a16:creationId xmlns:a16="http://schemas.microsoft.com/office/drawing/2014/main" id="{B8983F6C-76E4-4F3A-ACFE-691E1F0CB39C}"/>
            </a:ext>
          </a:extLst>
        </xdr:cNvPr>
        <xdr:cNvSpPr/>
      </xdr:nvSpPr>
      <xdr:spPr>
        <a:xfrm>
          <a:off x="7577138" y="162758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92" name="Shape 4">
          <a:extLst>
            <a:ext uri="{FF2B5EF4-FFF2-40B4-BE49-F238E27FC236}">
              <a16:creationId xmlns:a16="http://schemas.microsoft.com/office/drawing/2014/main" id="{8C2B720C-1757-4273-93D1-8E472A3A53F9}"/>
            </a:ext>
          </a:extLst>
        </xdr:cNvPr>
        <xdr:cNvSpPr/>
      </xdr:nvSpPr>
      <xdr:spPr>
        <a:xfrm>
          <a:off x="7577138" y="162758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93" name="Shape 7">
          <a:extLst>
            <a:ext uri="{FF2B5EF4-FFF2-40B4-BE49-F238E27FC236}">
              <a16:creationId xmlns:a16="http://schemas.microsoft.com/office/drawing/2014/main" id="{68B89D13-E5EC-410C-8699-AEBF161C028A}"/>
            </a:ext>
          </a:extLst>
        </xdr:cNvPr>
        <xdr:cNvSpPr/>
      </xdr:nvSpPr>
      <xdr:spPr>
        <a:xfrm>
          <a:off x="7577138" y="162758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94" name="Shape 7">
          <a:extLst>
            <a:ext uri="{FF2B5EF4-FFF2-40B4-BE49-F238E27FC236}">
              <a16:creationId xmlns:a16="http://schemas.microsoft.com/office/drawing/2014/main" id="{70C19B4F-5026-4AA0-8C22-DE1DD7F2D0CE}"/>
            </a:ext>
          </a:extLst>
        </xdr:cNvPr>
        <xdr:cNvSpPr/>
      </xdr:nvSpPr>
      <xdr:spPr>
        <a:xfrm>
          <a:off x="7577138" y="162758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95" name="Shape 4">
          <a:extLst>
            <a:ext uri="{FF2B5EF4-FFF2-40B4-BE49-F238E27FC236}">
              <a16:creationId xmlns:a16="http://schemas.microsoft.com/office/drawing/2014/main" id="{370A5AC4-059F-433A-AB66-683743D55E63}"/>
            </a:ext>
          </a:extLst>
        </xdr:cNvPr>
        <xdr:cNvSpPr/>
      </xdr:nvSpPr>
      <xdr:spPr>
        <a:xfrm>
          <a:off x="7577138" y="162758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96" name="Shape 4">
          <a:extLst>
            <a:ext uri="{FF2B5EF4-FFF2-40B4-BE49-F238E27FC236}">
              <a16:creationId xmlns:a16="http://schemas.microsoft.com/office/drawing/2014/main" id="{919100E6-E7DF-43B4-92C4-1F42244DFF0E}"/>
            </a:ext>
          </a:extLst>
        </xdr:cNvPr>
        <xdr:cNvSpPr/>
      </xdr:nvSpPr>
      <xdr:spPr>
        <a:xfrm>
          <a:off x="7577138" y="162758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97" name="Shape 4">
          <a:extLst>
            <a:ext uri="{FF2B5EF4-FFF2-40B4-BE49-F238E27FC236}">
              <a16:creationId xmlns:a16="http://schemas.microsoft.com/office/drawing/2014/main" id="{D4A9C7FB-7D64-4EF5-B1E8-BFABA82F7ABD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98" name="Shape 4">
          <a:extLst>
            <a:ext uri="{FF2B5EF4-FFF2-40B4-BE49-F238E27FC236}">
              <a16:creationId xmlns:a16="http://schemas.microsoft.com/office/drawing/2014/main" id="{EF1FCC42-6FD8-41E4-BAA4-9EBA2A238B84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299" name="Shape 7">
          <a:extLst>
            <a:ext uri="{FF2B5EF4-FFF2-40B4-BE49-F238E27FC236}">
              <a16:creationId xmlns:a16="http://schemas.microsoft.com/office/drawing/2014/main" id="{4D2A5032-FAE2-4BE8-B7DD-E729BC29DA37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300" name="Shape 7">
          <a:extLst>
            <a:ext uri="{FF2B5EF4-FFF2-40B4-BE49-F238E27FC236}">
              <a16:creationId xmlns:a16="http://schemas.microsoft.com/office/drawing/2014/main" id="{C89BF8BA-1609-4570-93E4-CBFDABC95072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301" name="Shape 4">
          <a:extLst>
            <a:ext uri="{FF2B5EF4-FFF2-40B4-BE49-F238E27FC236}">
              <a16:creationId xmlns:a16="http://schemas.microsoft.com/office/drawing/2014/main" id="{FD4D05B6-5C60-472A-9F63-A8032F965D7E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87</xdr:row>
      <xdr:rowOff>0</xdr:rowOff>
    </xdr:from>
    <xdr:ext cx="38100" cy="9525"/>
    <xdr:sp macro="" textlink="">
      <xdr:nvSpPr>
        <xdr:cNvPr id="1302" name="Shape 4">
          <a:extLst>
            <a:ext uri="{FF2B5EF4-FFF2-40B4-BE49-F238E27FC236}">
              <a16:creationId xmlns:a16="http://schemas.microsoft.com/office/drawing/2014/main" id="{8CF7CD2D-A7AD-4FBE-AA3A-91C522D6DFD8}"/>
            </a:ext>
          </a:extLst>
        </xdr:cNvPr>
        <xdr:cNvSpPr/>
      </xdr:nvSpPr>
      <xdr:spPr>
        <a:xfrm>
          <a:off x="7577138" y="160734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03" name="Shape 5">
          <a:extLst>
            <a:ext uri="{FF2B5EF4-FFF2-40B4-BE49-F238E27FC236}">
              <a16:creationId xmlns:a16="http://schemas.microsoft.com/office/drawing/2014/main" id="{D5CB54FE-ED11-49B3-AE30-7285C5D8AA04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04" name="Shape 5">
          <a:extLst>
            <a:ext uri="{FF2B5EF4-FFF2-40B4-BE49-F238E27FC236}">
              <a16:creationId xmlns:a16="http://schemas.microsoft.com/office/drawing/2014/main" id="{DE075190-CCD4-48B9-BB8D-EA7034AD174D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05" name="Shape 5">
          <a:extLst>
            <a:ext uri="{FF2B5EF4-FFF2-40B4-BE49-F238E27FC236}">
              <a16:creationId xmlns:a16="http://schemas.microsoft.com/office/drawing/2014/main" id="{679C8869-8B81-4D5F-A823-7834BBE91FC4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06" name="Shape 5">
          <a:extLst>
            <a:ext uri="{FF2B5EF4-FFF2-40B4-BE49-F238E27FC236}">
              <a16:creationId xmlns:a16="http://schemas.microsoft.com/office/drawing/2014/main" id="{E34A8791-88EF-47FC-928F-FC92C30020F4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07" name="Shape 5">
          <a:extLst>
            <a:ext uri="{FF2B5EF4-FFF2-40B4-BE49-F238E27FC236}">
              <a16:creationId xmlns:a16="http://schemas.microsoft.com/office/drawing/2014/main" id="{12CFCD95-2D23-4295-8CDA-CA8C3A74BF86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08" name="Shape 4">
          <a:extLst>
            <a:ext uri="{FF2B5EF4-FFF2-40B4-BE49-F238E27FC236}">
              <a16:creationId xmlns:a16="http://schemas.microsoft.com/office/drawing/2014/main" id="{C2B3F905-49F7-48C1-B8E1-EADDEE536F55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09" name="Shape 5">
          <a:extLst>
            <a:ext uri="{FF2B5EF4-FFF2-40B4-BE49-F238E27FC236}">
              <a16:creationId xmlns:a16="http://schemas.microsoft.com/office/drawing/2014/main" id="{508A1428-F428-4E88-B1CD-974E25A252D1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10" name="Shape 4">
          <a:extLst>
            <a:ext uri="{FF2B5EF4-FFF2-40B4-BE49-F238E27FC236}">
              <a16:creationId xmlns:a16="http://schemas.microsoft.com/office/drawing/2014/main" id="{35E57CAD-4443-4D5A-884C-E602CB9FB638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11" name="Shape 6">
          <a:extLst>
            <a:ext uri="{FF2B5EF4-FFF2-40B4-BE49-F238E27FC236}">
              <a16:creationId xmlns:a16="http://schemas.microsoft.com/office/drawing/2014/main" id="{EE6ACA34-AD3D-4C9D-B73E-BAC5A0A586F7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12" name="Shape 6">
          <a:extLst>
            <a:ext uri="{FF2B5EF4-FFF2-40B4-BE49-F238E27FC236}">
              <a16:creationId xmlns:a16="http://schemas.microsoft.com/office/drawing/2014/main" id="{08DFE9D9-E6EC-49DC-9360-81517D6791F6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13" name="Shape 6">
          <a:extLst>
            <a:ext uri="{FF2B5EF4-FFF2-40B4-BE49-F238E27FC236}">
              <a16:creationId xmlns:a16="http://schemas.microsoft.com/office/drawing/2014/main" id="{3E713557-C440-48A2-8065-E0023EF372C0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14" name="Shape 6">
          <a:extLst>
            <a:ext uri="{FF2B5EF4-FFF2-40B4-BE49-F238E27FC236}">
              <a16:creationId xmlns:a16="http://schemas.microsoft.com/office/drawing/2014/main" id="{66CFD551-62B2-43A2-B8E9-F623319A8DD3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15" name="Shape 6">
          <a:extLst>
            <a:ext uri="{FF2B5EF4-FFF2-40B4-BE49-F238E27FC236}">
              <a16:creationId xmlns:a16="http://schemas.microsoft.com/office/drawing/2014/main" id="{C4A043DC-F27E-439A-9011-642D8733E79D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16" name="Shape 6">
          <a:extLst>
            <a:ext uri="{FF2B5EF4-FFF2-40B4-BE49-F238E27FC236}">
              <a16:creationId xmlns:a16="http://schemas.microsoft.com/office/drawing/2014/main" id="{1DDC0A3B-75E0-4F22-9C82-56C2A0C345E3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17" name="Shape 6">
          <a:extLst>
            <a:ext uri="{FF2B5EF4-FFF2-40B4-BE49-F238E27FC236}">
              <a16:creationId xmlns:a16="http://schemas.microsoft.com/office/drawing/2014/main" id="{D9422923-8867-42FD-8E29-4B4FAAC5703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18" name="Shape 6">
          <a:extLst>
            <a:ext uri="{FF2B5EF4-FFF2-40B4-BE49-F238E27FC236}">
              <a16:creationId xmlns:a16="http://schemas.microsoft.com/office/drawing/2014/main" id="{8291C156-271A-459F-AD7F-D01B7959D63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19" name="Shape 6">
          <a:extLst>
            <a:ext uri="{FF2B5EF4-FFF2-40B4-BE49-F238E27FC236}">
              <a16:creationId xmlns:a16="http://schemas.microsoft.com/office/drawing/2014/main" id="{FFE0FED1-D16D-46ED-9C01-12050857C36F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20" name="Shape 5">
          <a:extLst>
            <a:ext uri="{FF2B5EF4-FFF2-40B4-BE49-F238E27FC236}">
              <a16:creationId xmlns:a16="http://schemas.microsoft.com/office/drawing/2014/main" id="{1B7B4162-B194-4439-B662-A0A0F16442DC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21" name="Shape 5">
          <a:extLst>
            <a:ext uri="{FF2B5EF4-FFF2-40B4-BE49-F238E27FC236}">
              <a16:creationId xmlns:a16="http://schemas.microsoft.com/office/drawing/2014/main" id="{968EF4CE-1AAE-4923-A2F0-78B0954DB1F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22" name="Shape 5">
          <a:extLst>
            <a:ext uri="{FF2B5EF4-FFF2-40B4-BE49-F238E27FC236}">
              <a16:creationId xmlns:a16="http://schemas.microsoft.com/office/drawing/2014/main" id="{08A2CB83-EF19-4A96-96C4-5D687CD29731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23" name="Shape 5">
          <a:extLst>
            <a:ext uri="{FF2B5EF4-FFF2-40B4-BE49-F238E27FC236}">
              <a16:creationId xmlns:a16="http://schemas.microsoft.com/office/drawing/2014/main" id="{004D2F1A-1369-42BC-BF7E-FB9199E73040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24" name="Shape 5">
          <a:extLst>
            <a:ext uri="{FF2B5EF4-FFF2-40B4-BE49-F238E27FC236}">
              <a16:creationId xmlns:a16="http://schemas.microsoft.com/office/drawing/2014/main" id="{69752A24-AD04-4C2E-8901-2D47750A5221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25" name="Shape 5">
          <a:extLst>
            <a:ext uri="{FF2B5EF4-FFF2-40B4-BE49-F238E27FC236}">
              <a16:creationId xmlns:a16="http://schemas.microsoft.com/office/drawing/2014/main" id="{7B525408-54FD-44A5-8980-7B1488EE4584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26" name="Shape 5">
          <a:extLst>
            <a:ext uri="{FF2B5EF4-FFF2-40B4-BE49-F238E27FC236}">
              <a16:creationId xmlns:a16="http://schemas.microsoft.com/office/drawing/2014/main" id="{D95ADDD2-1C3E-4DF8-AB56-82E40FB8B80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27" name="Shape 5">
          <a:extLst>
            <a:ext uri="{FF2B5EF4-FFF2-40B4-BE49-F238E27FC236}">
              <a16:creationId xmlns:a16="http://schemas.microsoft.com/office/drawing/2014/main" id="{2EB6E6BA-386B-4C17-A81C-18535EE20182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28" name="Shape 6">
          <a:extLst>
            <a:ext uri="{FF2B5EF4-FFF2-40B4-BE49-F238E27FC236}">
              <a16:creationId xmlns:a16="http://schemas.microsoft.com/office/drawing/2014/main" id="{E805B54C-D7B8-47F7-9FE5-2F759BC256E9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29" name="Shape 6">
          <a:extLst>
            <a:ext uri="{FF2B5EF4-FFF2-40B4-BE49-F238E27FC236}">
              <a16:creationId xmlns:a16="http://schemas.microsoft.com/office/drawing/2014/main" id="{50BB5BAA-6DE6-427D-A4BE-311D5FB10703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30" name="Shape 6">
          <a:extLst>
            <a:ext uri="{FF2B5EF4-FFF2-40B4-BE49-F238E27FC236}">
              <a16:creationId xmlns:a16="http://schemas.microsoft.com/office/drawing/2014/main" id="{A80B7D14-89D4-47FA-A035-CF408A9B6140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31" name="Shape 6">
          <a:extLst>
            <a:ext uri="{FF2B5EF4-FFF2-40B4-BE49-F238E27FC236}">
              <a16:creationId xmlns:a16="http://schemas.microsoft.com/office/drawing/2014/main" id="{11827770-F7B4-4770-B258-65D968C0EC9D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32" name="Shape 6">
          <a:extLst>
            <a:ext uri="{FF2B5EF4-FFF2-40B4-BE49-F238E27FC236}">
              <a16:creationId xmlns:a16="http://schemas.microsoft.com/office/drawing/2014/main" id="{72E7B0EB-B367-429E-BF03-313195720950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33" name="Shape 7">
          <a:extLst>
            <a:ext uri="{FF2B5EF4-FFF2-40B4-BE49-F238E27FC236}">
              <a16:creationId xmlns:a16="http://schemas.microsoft.com/office/drawing/2014/main" id="{5E918942-AD79-4546-B555-773FA0EB5784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34" name="Shape 6">
          <a:extLst>
            <a:ext uri="{FF2B5EF4-FFF2-40B4-BE49-F238E27FC236}">
              <a16:creationId xmlns:a16="http://schemas.microsoft.com/office/drawing/2014/main" id="{7ACB6407-5F5B-46CA-ACDE-BDF13BA18C6B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35" name="Shape 7">
          <a:extLst>
            <a:ext uri="{FF2B5EF4-FFF2-40B4-BE49-F238E27FC236}">
              <a16:creationId xmlns:a16="http://schemas.microsoft.com/office/drawing/2014/main" id="{3C7A419F-48B8-4D3E-95C8-3364FE45C60A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28575" cy="9525"/>
    <xdr:sp macro="" textlink="">
      <xdr:nvSpPr>
        <xdr:cNvPr id="1336" name="Shape 6">
          <a:extLst>
            <a:ext uri="{FF2B5EF4-FFF2-40B4-BE49-F238E27FC236}">
              <a16:creationId xmlns:a16="http://schemas.microsoft.com/office/drawing/2014/main" id="{59B73FBB-3686-489E-A321-AEA1B2990CB7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37" name="Shape 6">
          <a:extLst>
            <a:ext uri="{FF2B5EF4-FFF2-40B4-BE49-F238E27FC236}">
              <a16:creationId xmlns:a16="http://schemas.microsoft.com/office/drawing/2014/main" id="{14DADAED-7781-4B14-AA79-487B5F8BEC3D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38" name="Shape 6">
          <a:extLst>
            <a:ext uri="{FF2B5EF4-FFF2-40B4-BE49-F238E27FC236}">
              <a16:creationId xmlns:a16="http://schemas.microsoft.com/office/drawing/2014/main" id="{A231348F-64E1-4A08-8212-ADDAD72432EC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39" name="Shape 6">
          <a:extLst>
            <a:ext uri="{FF2B5EF4-FFF2-40B4-BE49-F238E27FC236}">
              <a16:creationId xmlns:a16="http://schemas.microsoft.com/office/drawing/2014/main" id="{10865090-8E51-4CFE-B70B-B1F4CEB7A441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40" name="Shape 6">
          <a:extLst>
            <a:ext uri="{FF2B5EF4-FFF2-40B4-BE49-F238E27FC236}">
              <a16:creationId xmlns:a16="http://schemas.microsoft.com/office/drawing/2014/main" id="{946DF23F-D828-4B8B-A7EA-C974A7657D1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41" name="Shape 6">
          <a:extLst>
            <a:ext uri="{FF2B5EF4-FFF2-40B4-BE49-F238E27FC236}">
              <a16:creationId xmlns:a16="http://schemas.microsoft.com/office/drawing/2014/main" id="{65DEC0B2-AB81-41C7-9839-382338D1C69E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42" name="Shape 5">
          <a:extLst>
            <a:ext uri="{FF2B5EF4-FFF2-40B4-BE49-F238E27FC236}">
              <a16:creationId xmlns:a16="http://schemas.microsoft.com/office/drawing/2014/main" id="{533AA5AC-FDA4-430C-B603-FC1CAD6B3023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43" name="Shape 5">
          <a:extLst>
            <a:ext uri="{FF2B5EF4-FFF2-40B4-BE49-F238E27FC236}">
              <a16:creationId xmlns:a16="http://schemas.microsoft.com/office/drawing/2014/main" id="{2441F9AD-411F-4170-AD1C-F3FCB5896303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44" name="Shape 5">
          <a:extLst>
            <a:ext uri="{FF2B5EF4-FFF2-40B4-BE49-F238E27FC236}">
              <a16:creationId xmlns:a16="http://schemas.microsoft.com/office/drawing/2014/main" id="{F7A9AAB7-9FC2-40A5-8EF4-0FE12435EE8A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45" name="Shape 5">
          <a:extLst>
            <a:ext uri="{FF2B5EF4-FFF2-40B4-BE49-F238E27FC236}">
              <a16:creationId xmlns:a16="http://schemas.microsoft.com/office/drawing/2014/main" id="{AEFF3D4E-E5EC-490F-8772-149AEE233C00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46" name="Shape 5">
          <a:extLst>
            <a:ext uri="{FF2B5EF4-FFF2-40B4-BE49-F238E27FC236}">
              <a16:creationId xmlns:a16="http://schemas.microsoft.com/office/drawing/2014/main" id="{84C8689C-8520-4C02-A1C4-F5ADB7BFC178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47" name="Shape 4">
          <a:extLst>
            <a:ext uri="{FF2B5EF4-FFF2-40B4-BE49-F238E27FC236}">
              <a16:creationId xmlns:a16="http://schemas.microsoft.com/office/drawing/2014/main" id="{FAC4DE75-86C6-4B06-887A-3347C17FDEA7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48" name="Shape 5">
          <a:extLst>
            <a:ext uri="{FF2B5EF4-FFF2-40B4-BE49-F238E27FC236}">
              <a16:creationId xmlns:a16="http://schemas.microsoft.com/office/drawing/2014/main" id="{E1965D1D-5A35-4D54-BC65-6E1C251DAD9E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49" name="Shape 4">
          <a:extLst>
            <a:ext uri="{FF2B5EF4-FFF2-40B4-BE49-F238E27FC236}">
              <a16:creationId xmlns:a16="http://schemas.microsoft.com/office/drawing/2014/main" id="{935E8E10-7CB3-4B01-9BEE-6709F286E58A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0" name="Shape 5">
          <a:extLst>
            <a:ext uri="{FF2B5EF4-FFF2-40B4-BE49-F238E27FC236}">
              <a16:creationId xmlns:a16="http://schemas.microsoft.com/office/drawing/2014/main" id="{20D9E736-DBFA-4826-8E28-86C3927C44F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1" name="Shape 5">
          <a:extLst>
            <a:ext uri="{FF2B5EF4-FFF2-40B4-BE49-F238E27FC236}">
              <a16:creationId xmlns:a16="http://schemas.microsoft.com/office/drawing/2014/main" id="{7BD024CC-E5D5-4879-BA9D-1C5F30BD7FA3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2" name="Shape 5">
          <a:extLst>
            <a:ext uri="{FF2B5EF4-FFF2-40B4-BE49-F238E27FC236}">
              <a16:creationId xmlns:a16="http://schemas.microsoft.com/office/drawing/2014/main" id="{B3BEAFEF-017A-4DF3-B308-FF7F4F001586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3" name="Shape 5">
          <a:extLst>
            <a:ext uri="{FF2B5EF4-FFF2-40B4-BE49-F238E27FC236}">
              <a16:creationId xmlns:a16="http://schemas.microsoft.com/office/drawing/2014/main" id="{3BE8CDC1-F944-4760-958E-328FED5A9B59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4" name="Shape 5">
          <a:extLst>
            <a:ext uri="{FF2B5EF4-FFF2-40B4-BE49-F238E27FC236}">
              <a16:creationId xmlns:a16="http://schemas.microsoft.com/office/drawing/2014/main" id="{6F8E31B9-84DF-4884-B72E-82C2189C6EC6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5" name="Shape 5">
          <a:extLst>
            <a:ext uri="{FF2B5EF4-FFF2-40B4-BE49-F238E27FC236}">
              <a16:creationId xmlns:a16="http://schemas.microsoft.com/office/drawing/2014/main" id="{75CB5046-F047-411E-A4CA-BFFC50CB0708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6" name="Shape 5">
          <a:extLst>
            <a:ext uri="{FF2B5EF4-FFF2-40B4-BE49-F238E27FC236}">
              <a16:creationId xmlns:a16="http://schemas.microsoft.com/office/drawing/2014/main" id="{F7A91A01-03B2-43D8-849E-D217A4D8AD95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7" name="Shape 5">
          <a:extLst>
            <a:ext uri="{FF2B5EF4-FFF2-40B4-BE49-F238E27FC236}">
              <a16:creationId xmlns:a16="http://schemas.microsoft.com/office/drawing/2014/main" id="{5B20D4EE-CC6F-4CF5-B957-C676C331E235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8" name="Shape 5">
          <a:extLst>
            <a:ext uri="{FF2B5EF4-FFF2-40B4-BE49-F238E27FC236}">
              <a16:creationId xmlns:a16="http://schemas.microsoft.com/office/drawing/2014/main" id="{41B5C158-77ED-49FF-A6B3-2E3ED923B735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59" name="Shape 5">
          <a:extLst>
            <a:ext uri="{FF2B5EF4-FFF2-40B4-BE49-F238E27FC236}">
              <a16:creationId xmlns:a16="http://schemas.microsoft.com/office/drawing/2014/main" id="{DC2F3117-07C9-427B-BCF4-43D7EBF2DC91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93</xdr:row>
      <xdr:rowOff>0</xdr:rowOff>
    </xdr:from>
    <xdr:ext cx="38100" cy="9525"/>
    <xdr:sp macro="" textlink="">
      <xdr:nvSpPr>
        <xdr:cNvPr id="1360" name="Shape 5">
          <a:extLst>
            <a:ext uri="{FF2B5EF4-FFF2-40B4-BE49-F238E27FC236}">
              <a16:creationId xmlns:a16="http://schemas.microsoft.com/office/drawing/2014/main" id="{CB931899-8951-4143-AAAE-9C867069E697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61" name="Shape 4">
          <a:extLst>
            <a:ext uri="{FF2B5EF4-FFF2-40B4-BE49-F238E27FC236}">
              <a16:creationId xmlns:a16="http://schemas.microsoft.com/office/drawing/2014/main" id="{DD5F2648-478E-4888-9626-F1E1437747DE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62" name="Shape 4">
          <a:extLst>
            <a:ext uri="{FF2B5EF4-FFF2-40B4-BE49-F238E27FC236}">
              <a16:creationId xmlns:a16="http://schemas.microsoft.com/office/drawing/2014/main" id="{5C71DF59-7868-4EE5-83BE-45BDF05E29A8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63" name="Shape 7">
          <a:extLst>
            <a:ext uri="{FF2B5EF4-FFF2-40B4-BE49-F238E27FC236}">
              <a16:creationId xmlns:a16="http://schemas.microsoft.com/office/drawing/2014/main" id="{43A982D0-DCF1-4B2B-8297-1AE9FCC8BFF4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64" name="Shape 7">
          <a:extLst>
            <a:ext uri="{FF2B5EF4-FFF2-40B4-BE49-F238E27FC236}">
              <a16:creationId xmlns:a16="http://schemas.microsoft.com/office/drawing/2014/main" id="{042DD640-BC33-4561-825E-6EBA3BEB2D55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65" name="Shape 4">
          <a:extLst>
            <a:ext uri="{FF2B5EF4-FFF2-40B4-BE49-F238E27FC236}">
              <a16:creationId xmlns:a16="http://schemas.microsoft.com/office/drawing/2014/main" id="{D6FF8D82-AB93-4AC2-99A6-08DEE499DFFA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66" name="Shape 4">
          <a:extLst>
            <a:ext uri="{FF2B5EF4-FFF2-40B4-BE49-F238E27FC236}">
              <a16:creationId xmlns:a16="http://schemas.microsoft.com/office/drawing/2014/main" id="{32875045-C198-4506-8BC7-3B549D91A9D0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67" name="Shape 4">
          <a:extLst>
            <a:ext uri="{FF2B5EF4-FFF2-40B4-BE49-F238E27FC236}">
              <a16:creationId xmlns:a16="http://schemas.microsoft.com/office/drawing/2014/main" id="{7703C878-97F7-4ABF-BA5B-A26226993208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68" name="Shape 4">
          <a:extLst>
            <a:ext uri="{FF2B5EF4-FFF2-40B4-BE49-F238E27FC236}">
              <a16:creationId xmlns:a16="http://schemas.microsoft.com/office/drawing/2014/main" id="{426E6645-E3B9-4E79-B068-0991DEAC3BF3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69" name="Shape 7">
          <a:extLst>
            <a:ext uri="{FF2B5EF4-FFF2-40B4-BE49-F238E27FC236}">
              <a16:creationId xmlns:a16="http://schemas.microsoft.com/office/drawing/2014/main" id="{56855501-7275-42D7-93FF-59A6FEDF8079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70" name="Shape 7">
          <a:extLst>
            <a:ext uri="{FF2B5EF4-FFF2-40B4-BE49-F238E27FC236}">
              <a16:creationId xmlns:a16="http://schemas.microsoft.com/office/drawing/2014/main" id="{84BD8420-21EE-49A6-AD0B-92AF32DFA7F0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71" name="Shape 4">
          <a:extLst>
            <a:ext uri="{FF2B5EF4-FFF2-40B4-BE49-F238E27FC236}">
              <a16:creationId xmlns:a16="http://schemas.microsoft.com/office/drawing/2014/main" id="{0C3BD323-1195-40F8-8295-D6BDCB9B99D6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93</xdr:row>
      <xdr:rowOff>0</xdr:rowOff>
    </xdr:from>
    <xdr:ext cx="38100" cy="9525"/>
    <xdr:sp macro="" textlink="">
      <xdr:nvSpPr>
        <xdr:cNvPr id="1372" name="Shape 4">
          <a:extLst>
            <a:ext uri="{FF2B5EF4-FFF2-40B4-BE49-F238E27FC236}">
              <a16:creationId xmlns:a16="http://schemas.microsoft.com/office/drawing/2014/main" id="{9EA30B3F-8E6D-4FEF-AF8F-F662F55CF4B3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73" name="Shape 5">
          <a:extLst>
            <a:ext uri="{FF2B5EF4-FFF2-40B4-BE49-F238E27FC236}">
              <a16:creationId xmlns:a16="http://schemas.microsoft.com/office/drawing/2014/main" id="{AFB38741-3F5A-4F54-9317-BD07A6FE48EE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74" name="Shape 5">
          <a:extLst>
            <a:ext uri="{FF2B5EF4-FFF2-40B4-BE49-F238E27FC236}">
              <a16:creationId xmlns:a16="http://schemas.microsoft.com/office/drawing/2014/main" id="{E6D8FB4C-EAFA-40CF-B94D-C1CF11545137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75" name="Shape 5">
          <a:extLst>
            <a:ext uri="{FF2B5EF4-FFF2-40B4-BE49-F238E27FC236}">
              <a16:creationId xmlns:a16="http://schemas.microsoft.com/office/drawing/2014/main" id="{68687E62-C069-4A13-9A0C-A02A444FBD1C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76" name="Shape 5">
          <a:extLst>
            <a:ext uri="{FF2B5EF4-FFF2-40B4-BE49-F238E27FC236}">
              <a16:creationId xmlns:a16="http://schemas.microsoft.com/office/drawing/2014/main" id="{F08021EF-76E9-4ECA-9152-D0ABC2F50E68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77" name="Shape 5">
          <a:extLst>
            <a:ext uri="{FF2B5EF4-FFF2-40B4-BE49-F238E27FC236}">
              <a16:creationId xmlns:a16="http://schemas.microsoft.com/office/drawing/2014/main" id="{0A03B44B-BC94-415B-A9A6-C1277F6E3BCE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378" name="Shape 4">
          <a:extLst>
            <a:ext uri="{FF2B5EF4-FFF2-40B4-BE49-F238E27FC236}">
              <a16:creationId xmlns:a16="http://schemas.microsoft.com/office/drawing/2014/main" id="{D91918D5-F3A2-4238-B706-4629D436E5B0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79" name="Shape 5">
          <a:extLst>
            <a:ext uri="{FF2B5EF4-FFF2-40B4-BE49-F238E27FC236}">
              <a16:creationId xmlns:a16="http://schemas.microsoft.com/office/drawing/2014/main" id="{CAD1DDF8-BAD7-42C3-9FFC-03EA7B8301C3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380" name="Shape 4">
          <a:extLst>
            <a:ext uri="{FF2B5EF4-FFF2-40B4-BE49-F238E27FC236}">
              <a16:creationId xmlns:a16="http://schemas.microsoft.com/office/drawing/2014/main" id="{ED3274F0-8705-4756-B0D0-A442D2F57975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81" name="Shape 6">
          <a:extLst>
            <a:ext uri="{FF2B5EF4-FFF2-40B4-BE49-F238E27FC236}">
              <a16:creationId xmlns:a16="http://schemas.microsoft.com/office/drawing/2014/main" id="{880674FD-495A-4726-B90E-3B2DB8615629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82" name="Shape 6">
          <a:extLst>
            <a:ext uri="{FF2B5EF4-FFF2-40B4-BE49-F238E27FC236}">
              <a16:creationId xmlns:a16="http://schemas.microsoft.com/office/drawing/2014/main" id="{DCA933E9-69F4-44F0-B0B0-297B51C8CC98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83" name="Shape 6">
          <a:extLst>
            <a:ext uri="{FF2B5EF4-FFF2-40B4-BE49-F238E27FC236}">
              <a16:creationId xmlns:a16="http://schemas.microsoft.com/office/drawing/2014/main" id="{4D48C2C3-9C31-4F28-84AD-5E704FBB4096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84" name="Shape 6">
          <a:extLst>
            <a:ext uri="{FF2B5EF4-FFF2-40B4-BE49-F238E27FC236}">
              <a16:creationId xmlns:a16="http://schemas.microsoft.com/office/drawing/2014/main" id="{B584FA64-9FB7-4CA6-9D63-F6E7EDFA548F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85" name="Shape 6">
          <a:extLst>
            <a:ext uri="{FF2B5EF4-FFF2-40B4-BE49-F238E27FC236}">
              <a16:creationId xmlns:a16="http://schemas.microsoft.com/office/drawing/2014/main" id="{04BE6D13-A019-4C33-BD99-C1639E432D94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86" name="Shape 6">
          <a:extLst>
            <a:ext uri="{FF2B5EF4-FFF2-40B4-BE49-F238E27FC236}">
              <a16:creationId xmlns:a16="http://schemas.microsoft.com/office/drawing/2014/main" id="{05B05A92-D9F1-4454-AEFF-1C49699863C4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87" name="Shape 6">
          <a:extLst>
            <a:ext uri="{FF2B5EF4-FFF2-40B4-BE49-F238E27FC236}">
              <a16:creationId xmlns:a16="http://schemas.microsoft.com/office/drawing/2014/main" id="{518FCDDD-42C3-4E3D-8D8C-ADD9658D1200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88" name="Shape 6">
          <a:extLst>
            <a:ext uri="{FF2B5EF4-FFF2-40B4-BE49-F238E27FC236}">
              <a16:creationId xmlns:a16="http://schemas.microsoft.com/office/drawing/2014/main" id="{6760616C-CC40-4BED-A84B-B9D227FDC213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89" name="Shape 6">
          <a:extLst>
            <a:ext uri="{FF2B5EF4-FFF2-40B4-BE49-F238E27FC236}">
              <a16:creationId xmlns:a16="http://schemas.microsoft.com/office/drawing/2014/main" id="{06D5F2DC-E403-4F09-AAD8-A8F873142593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90" name="Shape 5">
          <a:extLst>
            <a:ext uri="{FF2B5EF4-FFF2-40B4-BE49-F238E27FC236}">
              <a16:creationId xmlns:a16="http://schemas.microsoft.com/office/drawing/2014/main" id="{D079B2B3-17E2-4943-AAB4-FDCEF28AC0DA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91" name="Shape 5">
          <a:extLst>
            <a:ext uri="{FF2B5EF4-FFF2-40B4-BE49-F238E27FC236}">
              <a16:creationId xmlns:a16="http://schemas.microsoft.com/office/drawing/2014/main" id="{AD56FC1B-F370-4967-88F2-B63AE231C33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92" name="Shape 5">
          <a:extLst>
            <a:ext uri="{FF2B5EF4-FFF2-40B4-BE49-F238E27FC236}">
              <a16:creationId xmlns:a16="http://schemas.microsoft.com/office/drawing/2014/main" id="{62D57B29-EE59-46F4-8271-C0A877AEEA9F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93" name="Shape 5">
          <a:extLst>
            <a:ext uri="{FF2B5EF4-FFF2-40B4-BE49-F238E27FC236}">
              <a16:creationId xmlns:a16="http://schemas.microsoft.com/office/drawing/2014/main" id="{879549B7-20CF-4FF1-A1F4-8DB824FF57EA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94" name="Shape 5">
          <a:extLst>
            <a:ext uri="{FF2B5EF4-FFF2-40B4-BE49-F238E27FC236}">
              <a16:creationId xmlns:a16="http://schemas.microsoft.com/office/drawing/2014/main" id="{BF82EE6C-D3B5-48ED-BADD-64096EC2E13E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95" name="Shape 5">
          <a:extLst>
            <a:ext uri="{FF2B5EF4-FFF2-40B4-BE49-F238E27FC236}">
              <a16:creationId xmlns:a16="http://schemas.microsoft.com/office/drawing/2014/main" id="{99FA3E24-C50D-4EFA-A3F1-19D5DF6355E6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96" name="Shape 5">
          <a:extLst>
            <a:ext uri="{FF2B5EF4-FFF2-40B4-BE49-F238E27FC236}">
              <a16:creationId xmlns:a16="http://schemas.microsoft.com/office/drawing/2014/main" id="{9198AA7E-579F-4F2B-A802-1A12CB06C22D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397" name="Shape 5">
          <a:extLst>
            <a:ext uri="{FF2B5EF4-FFF2-40B4-BE49-F238E27FC236}">
              <a16:creationId xmlns:a16="http://schemas.microsoft.com/office/drawing/2014/main" id="{23612E78-E0C6-4BF4-9143-E0F45BC332AC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98" name="Shape 6">
          <a:extLst>
            <a:ext uri="{FF2B5EF4-FFF2-40B4-BE49-F238E27FC236}">
              <a16:creationId xmlns:a16="http://schemas.microsoft.com/office/drawing/2014/main" id="{E300E7D6-8AF7-4AC5-8471-6C869B50D44A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399" name="Shape 6">
          <a:extLst>
            <a:ext uri="{FF2B5EF4-FFF2-40B4-BE49-F238E27FC236}">
              <a16:creationId xmlns:a16="http://schemas.microsoft.com/office/drawing/2014/main" id="{D5C82BB3-E49F-4330-93F9-56CD41BD48DE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400" name="Shape 6">
          <a:extLst>
            <a:ext uri="{FF2B5EF4-FFF2-40B4-BE49-F238E27FC236}">
              <a16:creationId xmlns:a16="http://schemas.microsoft.com/office/drawing/2014/main" id="{D90A7979-098C-4C08-87D3-D1B4ECB52E37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401" name="Shape 6">
          <a:extLst>
            <a:ext uri="{FF2B5EF4-FFF2-40B4-BE49-F238E27FC236}">
              <a16:creationId xmlns:a16="http://schemas.microsoft.com/office/drawing/2014/main" id="{BD4C1D95-DFB4-46B8-9E4D-FD29EAA62754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402" name="Shape 6">
          <a:extLst>
            <a:ext uri="{FF2B5EF4-FFF2-40B4-BE49-F238E27FC236}">
              <a16:creationId xmlns:a16="http://schemas.microsoft.com/office/drawing/2014/main" id="{837A0B12-1F1B-40A5-A8F6-1BED4084900D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03" name="Shape 7">
          <a:extLst>
            <a:ext uri="{FF2B5EF4-FFF2-40B4-BE49-F238E27FC236}">
              <a16:creationId xmlns:a16="http://schemas.microsoft.com/office/drawing/2014/main" id="{77C14771-EC8D-4A64-AB6A-3FA799AFD559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404" name="Shape 6">
          <a:extLst>
            <a:ext uri="{FF2B5EF4-FFF2-40B4-BE49-F238E27FC236}">
              <a16:creationId xmlns:a16="http://schemas.microsoft.com/office/drawing/2014/main" id="{1CD88E75-D183-4E37-9A0C-DA4597932495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05" name="Shape 7">
          <a:extLst>
            <a:ext uri="{FF2B5EF4-FFF2-40B4-BE49-F238E27FC236}">
              <a16:creationId xmlns:a16="http://schemas.microsoft.com/office/drawing/2014/main" id="{2B9328D1-667B-49B9-BFAE-709046DB8712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28575" cy="9525"/>
    <xdr:sp macro="" textlink="">
      <xdr:nvSpPr>
        <xdr:cNvPr id="1406" name="Shape 6">
          <a:extLst>
            <a:ext uri="{FF2B5EF4-FFF2-40B4-BE49-F238E27FC236}">
              <a16:creationId xmlns:a16="http://schemas.microsoft.com/office/drawing/2014/main" id="{1B9713A6-58EB-4FE5-BA4E-28377E77F209}"/>
            </a:ext>
          </a:extLst>
        </xdr:cNvPr>
        <xdr:cNvSpPr/>
      </xdr:nvSpPr>
      <xdr:spPr>
        <a:xfrm>
          <a:off x="1466850" y="18859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07" name="Shape 6">
          <a:extLst>
            <a:ext uri="{FF2B5EF4-FFF2-40B4-BE49-F238E27FC236}">
              <a16:creationId xmlns:a16="http://schemas.microsoft.com/office/drawing/2014/main" id="{86D9A32A-E515-4FED-99F3-66145160FA34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08" name="Shape 6">
          <a:extLst>
            <a:ext uri="{FF2B5EF4-FFF2-40B4-BE49-F238E27FC236}">
              <a16:creationId xmlns:a16="http://schemas.microsoft.com/office/drawing/2014/main" id="{D83C242D-0920-40AA-99F3-BA434CDA583A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09" name="Shape 6">
          <a:extLst>
            <a:ext uri="{FF2B5EF4-FFF2-40B4-BE49-F238E27FC236}">
              <a16:creationId xmlns:a16="http://schemas.microsoft.com/office/drawing/2014/main" id="{A6F59035-8667-4A81-9453-21C70D74D295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10" name="Shape 6">
          <a:extLst>
            <a:ext uri="{FF2B5EF4-FFF2-40B4-BE49-F238E27FC236}">
              <a16:creationId xmlns:a16="http://schemas.microsoft.com/office/drawing/2014/main" id="{1370E028-B488-423D-A666-994626D9DCF0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11" name="Shape 6">
          <a:extLst>
            <a:ext uri="{FF2B5EF4-FFF2-40B4-BE49-F238E27FC236}">
              <a16:creationId xmlns:a16="http://schemas.microsoft.com/office/drawing/2014/main" id="{794EB148-0260-4FDD-B7F5-E04CC9ECE77A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12" name="Shape 5">
          <a:extLst>
            <a:ext uri="{FF2B5EF4-FFF2-40B4-BE49-F238E27FC236}">
              <a16:creationId xmlns:a16="http://schemas.microsoft.com/office/drawing/2014/main" id="{2EEB2885-7AA1-48B7-9308-3E4187DFAFB6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13" name="Shape 5">
          <a:extLst>
            <a:ext uri="{FF2B5EF4-FFF2-40B4-BE49-F238E27FC236}">
              <a16:creationId xmlns:a16="http://schemas.microsoft.com/office/drawing/2014/main" id="{8B3F3023-E679-428A-804E-A7AB49FFEE2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14" name="Shape 5">
          <a:extLst>
            <a:ext uri="{FF2B5EF4-FFF2-40B4-BE49-F238E27FC236}">
              <a16:creationId xmlns:a16="http://schemas.microsoft.com/office/drawing/2014/main" id="{1FAE4BC1-88A2-4F7E-941F-4C474E177B13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15" name="Shape 5">
          <a:extLst>
            <a:ext uri="{FF2B5EF4-FFF2-40B4-BE49-F238E27FC236}">
              <a16:creationId xmlns:a16="http://schemas.microsoft.com/office/drawing/2014/main" id="{947BB6F5-2722-4C48-A71D-5D740307B14F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16" name="Shape 5">
          <a:extLst>
            <a:ext uri="{FF2B5EF4-FFF2-40B4-BE49-F238E27FC236}">
              <a16:creationId xmlns:a16="http://schemas.microsoft.com/office/drawing/2014/main" id="{0ABEA4C4-B782-42F5-9D34-FBAE8DF94569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17" name="Shape 4">
          <a:extLst>
            <a:ext uri="{FF2B5EF4-FFF2-40B4-BE49-F238E27FC236}">
              <a16:creationId xmlns:a16="http://schemas.microsoft.com/office/drawing/2014/main" id="{8F973F36-24BA-4D68-B3BC-FC52F3807189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18" name="Shape 5">
          <a:extLst>
            <a:ext uri="{FF2B5EF4-FFF2-40B4-BE49-F238E27FC236}">
              <a16:creationId xmlns:a16="http://schemas.microsoft.com/office/drawing/2014/main" id="{1E856695-97F9-4CBC-BC77-66BBC5B40ED9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19" name="Shape 4">
          <a:extLst>
            <a:ext uri="{FF2B5EF4-FFF2-40B4-BE49-F238E27FC236}">
              <a16:creationId xmlns:a16="http://schemas.microsoft.com/office/drawing/2014/main" id="{022CF209-9F92-4ADD-ACAD-7D9E37FBFF75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0" name="Shape 5">
          <a:extLst>
            <a:ext uri="{FF2B5EF4-FFF2-40B4-BE49-F238E27FC236}">
              <a16:creationId xmlns:a16="http://schemas.microsoft.com/office/drawing/2014/main" id="{D0EFAF4B-0F22-4D97-84FF-4F18CF19F42F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1" name="Shape 5">
          <a:extLst>
            <a:ext uri="{FF2B5EF4-FFF2-40B4-BE49-F238E27FC236}">
              <a16:creationId xmlns:a16="http://schemas.microsoft.com/office/drawing/2014/main" id="{BF2693CC-8ABB-4B2D-A3F4-2A4CA6214C9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2" name="Shape 5">
          <a:extLst>
            <a:ext uri="{FF2B5EF4-FFF2-40B4-BE49-F238E27FC236}">
              <a16:creationId xmlns:a16="http://schemas.microsoft.com/office/drawing/2014/main" id="{29EDCBF1-FE04-44F4-8BB6-AFBFFF52403D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3" name="Shape 5">
          <a:extLst>
            <a:ext uri="{FF2B5EF4-FFF2-40B4-BE49-F238E27FC236}">
              <a16:creationId xmlns:a16="http://schemas.microsoft.com/office/drawing/2014/main" id="{01FDFCBB-D812-4A57-BE5B-D705F007D22C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4" name="Shape 5">
          <a:extLst>
            <a:ext uri="{FF2B5EF4-FFF2-40B4-BE49-F238E27FC236}">
              <a16:creationId xmlns:a16="http://schemas.microsoft.com/office/drawing/2014/main" id="{C043B487-838C-417E-885C-280CF23DD169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5" name="Shape 5">
          <a:extLst>
            <a:ext uri="{FF2B5EF4-FFF2-40B4-BE49-F238E27FC236}">
              <a16:creationId xmlns:a16="http://schemas.microsoft.com/office/drawing/2014/main" id="{97C0B310-4330-416D-80C5-8CEA228FF613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6" name="Shape 5">
          <a:extLst>
            <a:ext uri="{FF2B5EF4-FFF2-40B4-BE49-F238E27FC236}">
              <a16:creationId xmlns:a16="http://schemas.microsoft.com/office/drawing/2014/main" id="{0741CCF9-79E5-4727-8085-3E2A6CB1AEAE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7" name="Shape 5">
          <a:extLst>
            <a:ext uri="{FF2B5EF4-FFF2-40B4-BE49-F238E27FC236}">
              <a16:creationId xmlns:a16="http://schemas.microsoft.com/office/drawing/2014/main" id="{16DF2541-C704-48A8-AF01-387FBAEB4BD6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8" name="Shape 5">
          <a:extLst>
            <a:ext uri="{FF2B5EF4-FFF2-40B4-BE49-F238E27FC236}">
              <a16:creationId xmlns:a16="http://schemas.microsoft.com/office/drawing/2014/main" id="{3B54A2AE-4234-450C-8584-AFB1135F9C93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29" name="Shape 5">
          <a:extLst>
            <a:ext uri="{FF2B5EF4-FFF2-40B4-BE49-F238E27FC236}">
              <a16:creationId xmlns:a16="http://schemas.microsoft.com/office/drawing/2014/main" id="{60AE8406-6491-40E9-8BB3-EBA8CDB4AB2B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100</xdr:row>
      <xdr:rowOff>0</xdr:rowOff>
    </xdr:from>
    <xdr:ext cx="38100" cy="9525"/>
    <xdr:sp macro="" textlink="">
      <xdr:nvSpPr>
        <xdr:cNvPr id="1430" name="Shape 5">
          <a:extLst>
            <a:ext uri="{FF2B5EF4-FFF2-40B4-BE49-F238E27FC236}">
              <a16:creationId xmlns:a16="http://schemas.microsoft.com/office/drawing/2014/main" id="{7D29E6D0-F139-4FCD-A6F0-35AAD97DAC6A}"/>
            </a:ext>
          </a:extLst>
        </xdr:cNvPr>
        <xdr:cNvSpPr/>
      </xdr:nvSpPr>
      <xdr:spPr>
        <a:xfrm>
          <a:off x="1466850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101</xdr:row>
      <xdr:rowOff>0</xdr:rowOff>
    </xdr:from>
    <xdr:ext cx="38100" cy="9525"/>
    <xdr:sp macro="" textlink="">
      <xdr:nvSpPr>
        <xdr:cNvPr id="1431" name="Shape 4">
          <a:extLst>
            <a:ext uri="{FF2B5EF4-FFF2-40B4-BE49-F238E27FC236}">
              <a16:creationId xmlns:a16="http://schemas.microsoft.com/office/drawing/2014/main" id="{956AE085-68A5-44CA-A8A2-265A39B11FF7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101</xdr:row>
      <xdr:rowOff>0</xdr:rowOff>
    </xdr:from>
    <xdr:ext cx="38100" cy="9525"/>
    <xdr:sp macro="" textlink="">
      <xdr:nvSpPr>
        <xdr:cNvPr id="1432" name="Shape 4">
          <a:extLst>
            <a:ext uri="{FF2B5EF4-FFF2-40B4-BE49-F238E27FC236}">
              <a16:creationId xmlns:a16="http://schemas.microsoft.com/office/drawing/2014/main" id="{480120D0-7601-4431-AA4D-121D5A2170C4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101</xdr:row>
      <xdr:rowOff>0</xdr:rowOff>
    </xdr:from>
    <xdr:ext cx="38100" cy="9525"/>
    <xdr:sp macro="" textlink="">
      <xdr:nvSpPr>
        <xdr:cNvPr id="1433" name="Shape 7">
          <a:extLst>
            <a:ext uri="{FF2B5EF4-FFF2-40B4-BE49-F238E27FC236}">
              <a16:creationId xmlns:a16="http://schemas.microsoft.com/office/drawing/2014/main" id="{DD4984DE-04D7-4D3F-99BA-DBA9F9A8EDD0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101</xdr:row>
      <xdr:rowOff>0</xdr:rowOff>
    </xdr:from>
    <xdr:ext cx="38100" cy="9525"/>
    <xdr:sp macro="" textlink="">
      <xdr:nvSpPr>
        <xdr:cNvPr id="1434" name="Shape 7">
          <a:extLst>
            <a:ext uri="{FF2B5EF4-FFF2-40B4-BE49-F238E27FC236}">
              <a16:creationId xmlns:a16="http://schemas.microsoft.com/office/drawing/2014/main" id="{C221E11B-2512-48B2-8BAB-95CD96EB6E0C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101</xdr:row>
      <xdr:rowOff>0</xdr:rowOff>
    </xdr:from>
    <xdr:ext cx="38100" cy="9525"/>
    <xdr:sp macro="" textlink="">
      <xdr:nvSpPr>
        <xdr:cNvPr id="1435" name="Shape 4">
          <a:extLst>
            <a:ext uri="{FF2B5EF4-FFF2-40B4-BE49-F238E27FC236}">
              <a16:creationId xmlns:a16="http://schemas.microsoft.com/office/drawing/2014/main" id="{0518584F-8125-4AE7-BD7D-A4F4848715D6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101</xdr:row>
      <xdr:rowOff>0</xdr:rowOff>
    </xdr:from>
    <xdr:ext cx="38100" cy="9525"/>
    <xdr:sp macro="" textlink="">
      <xdr:nvSpPr>
        <xdr:cNvPr id="1436" name="Shape 4">
          <a:extLst>
            <a:ext uri="{FF2B5EF4-FFF2-40B4-BE49-F238E27FC236}">
              <a16:creationId xmlns:a16="http://schemas.microsoft.com/office/drawing/2014/main" id="{12E57217-77EF-4351-A99C-76F8F3E309AE}"/>
            </a:ext>
          </a:extLst>
        </xdr:cNvPr>
        <xdr:cNvSpPr/>
      </xdr:nvSpPr>
      <xdr:spPr>
        <a:xfrm>
          <a:off x="7577138" y="1906190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37" name="Shape 4">
          <a:extLst>
            <a:ext uri="{FF2B5EF4-FFF2-40B4-BE49-F238E27FC236}">
              <a16:creationId xmlns:a16="http://schemas.microsoft.com/office/drawing/2014/main" id="{675781BA-0D18-4D38-B86B-1796589EE79F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38" name="Shape 4">
          <a:extLst>
            <a:ext uri="{FF2B5EF4-FFF2-40B4-BE49-F238E27FC236}">
              <a16:creationId xmlns:a16="http://schemas.microsoft.com/office/drawing/2014/main" id="{6240A289-2988-4CAD-B899-910E5E4D4B61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39" name="Shape 7">
          <a:extLst>
            <a:ext uri="{FF2B5EF4-FFF2-40B4-BE49-F238E27FC236}">
              <a16:creationId xmlns:a16="http://schemas.microsoft.com/office/drawing/2014/main" id="{E17FE4E7-91F7-49A5-A5A2-F5D06BC736F2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40" name="Shape 7">
          <a:extLst>
            <a:ext uri="{FF2B5EF4-FFF2-40B4-BE49-F238E27FC236}">
              <a16:creationId xmlns:a16="http://schemas.microsoft.com/office/drawing/2014/main" id="{DB03F10D-D6E7-4520-9935-FAF81152282B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41" name="Shape 4">
          <a:extLst>
            <a:ext uri="{FF2B5EF4-FFF2-40B4-BE49-F238E27FC236}">
              <a16:creationId xmlns:a16="http://schemas.microsoft.com/office/drawing/2014/main" id="{94239AF1-10EE-4BF9-B514-AD712AD3349F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100</xdr:row>
      <xdr:rowOff>0</xdr:rowOff>
    </xdr:from>
    <xdr:ext cx="38100" cy="9525"/>
    <xdr:sp macro="" textlink="">
      <xdr:nvSpPr>
        <xdr:cNvPr id="1442" name="Shape 4">
          <a:extLst>
            <a:ext uri="{FF2B5EF4-FFF2-40B4-BE49-F238E27FC236}">
              <a16:creationId xmlns:a16="http://schemas.microsoft.com/office/drawing/2014/main" id="{89F11FD9-4300-454D-BAEF-E7F914DC6D60}"/>
            </a:ext>
          </a:extLst>
        </xdr:cNvPr>
        <xdr:cNvSpPr/>
      </xdr:nvSpPr>
      <xdr:spPr>
        <a:xfrm>
          <a:off x="7577138" y="18859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43" name="Shape 5">
          <a:extLst>
            <a:ext uri="{FF2B5EF4-FFF2-40B4-BE49-F238E27FC236}">
              <a16:creationId xmlns:a16="http://schemas.microsoft.com/office/drawing/2014/main" id="{F80CA1FF-C928-435D-A6AD-67925D0AC36A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44" name="Shape 5">
          <a:extLst>
            <a:ext uri="{FF2B5EF4-FFF2-40B4-BE49-F238E27FC236}">
              <a16:creationId xmlns:a16="http://schemas.microsoft.com/office/drawing/2014/main" id="{491E04CD-68C6-47B8-B7A3-C1A95DEE8FFD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45" name="Shape 5">
          <a:extLst>
            <a:ext uri="{FF2B5EF4-FFF2-40B4-BE49-F238E27FC236}">
              <a16:creationId xmlns:a16="http://schemas.microsoft.com/office/drawing/2014/main" id="{1C1D1F2E-9DBB-4BD8-A689-6E4C6C4F303B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46" name="Shape 5">
          <a:extLst>
            <a:ext uri="{FF2B5EF4-FFF2-40B4-BE49-F238E27FC236}">
              <a16:creationId xmlns:a16="http://schemas.microsoft.com/office/drawing/2014/main" id="{ECD928BD-16F7-4AC1-A16C-BDEB9FC352A7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47" name="Shape 5">
          <a:extLst>
            <a:ext uri="{FF2B5EF4-FFF2-40B4-BE49-F238E27FC236}">
              <a16:creationId xmlns:a16="http://schemas.microsoft.com/office/drawing/2014/main" id="{8B8064CB-2F13-4F8C-98EF-F10E95A3E8CA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448" name="Shape 4">
          <a:extLst>
            <a:ext uri="{FF2B5EF4-FFF2-40B4-BE49-F238E27FC236}">
              <a16:creationId xmlns:a16="http://schemas.microsoft.com/office/drawing/2014/main" id="{550E726C-3A9A-40B3-8222-C9FBFE4C1845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49" name="Shape 5">
          <a:extLst>
            <a:ext uri="{FF2B5EF4-FFF2-40B4-BE49-F238E27FC236}">
              <a16:creationId xmlns:a16="http://schemas.microsoft.com/office/drawing/2014/main" id="{F88D1C68-2DDC-406F-BC7D-9BC3AA0056BE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450" name="Shape 4">
          <a:extLst>
            <a:ext uri="{FF2B5EF4-FFF2-40B4-BE49-F238E27FC236}">
              <a16:creationId xmlns:a16="http://schemas.microsoft.com/office/drawing/2014/main" id="{6DECCD79-C799-4389-B8CD-E51A954B9B09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51" name="Shape 6">
          <a:extLst>
            <a:ext uri="{FF2B5EF4-FFF2-40B4-BE49-F238E27FC236}">
              <a16:creationId xmlns:a16="http://schemas.microsoft.com/office/drawing/2014/main" id="{CD22188B-6093-474D-B63A-C8CCCC92439D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52" name="Shape 6">
          <a:extLst>
            <a:ext uri="{FF2B5EF4-FFF2-40B4-BE49-F238E27FC236}">
              <a16:creationId xmlns:a16="http://schemas.microsoft.com/office/drawing/2014/main" id="{1B008108-0669-443A-A78C-49B4B150F62B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53" name="Shape 6">
          <a:extLst>
            <a:ext uri="{FF2B5EF4-FFF2-40B4-BE49-F238E27FC236}">
              <a16:creationId xmlns:a16="http://schemas.microsoft.com/office/drawing/2014/main" id="{3AA3DB38-E9AC-4E67-99EC-82529A554265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54" name="Shape 6">
          <a:extLst>
            <a:ext uri="{FF2B5EF4-FFF2-40B4-BE49-F238E27FC236}">
              <a16:creationId xmlns:a16="http://schemas.microsoft.com/office/drawing/2014/main" id="{4772679D-8470-458E-8541-8241F9D22686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55" name="Shape 6">
          <a:extLst>
            <a:ext uri="{FF2B5EF4-FFF2-40B4-BE49-F238E27FC236}">
              <a16:creationId xmlns:a16="http://schemas.microsoft.com/office/drawing/2014/main" id="{CF5A0D30-73CD-457A-A03F-49163C156C07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56" name="Shape 6">
          <a:extLst>
            <a:ext uri="{FF2B5EF4-FFF2-40B4-BE49-F238E27FC236}">
              <a16:creationId xmlns:a16="http://schemas.microsoft.com/office/drawing/2014/main" id="{55C1A9C1-CBB4-4859-924D-4EAF70701268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57" name="Shape 6">
          <a:extLst>
            <a:ext uri="{FF2B5EF4-FFF2-40B4-BE49-F238E27FC236}">
              <a16:creationId xmlns:a16="http://schemas.microsoft.com/office/drawing/2014/main" id="{A4BBB6FF-77C7-48BA-A312-A52362330FCD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58" name="Shape 6">
          <a:extLst>
            <a:ext uri="{FF2B5EF4-FFF2-40B4-BE49-F238E27FC236}">
              <a16:creationId xmlns:a16="http://schemas.microsoft.com/office/drawing/2014/main" id="{7B32E630-28CB-48B2-B87E-96E640738278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59" name="Shape 6">
          <a:extLst>
            <a:ext uri="{FF2B5EF4-FFF2-40B4-BE49-F238E27FC236}">
              <a16:creationId xmlns:a16="http://schemas.microsoft.com/office/drawing/2014/main" id="{25F95287-5560-4D34-AFE9-5563B5DEB69D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60" name="Shape 5">
          <a:extLst>
            <a:ext uri="{FF2B5EF4-FFF2-40B4-BE49-F238E27FC236}">
              <a16:creationId xmlns:a16="http://schemas.microsoft.com/office/drawing/2014/main" id="{D830608C-F3EB-49BE-998E-58674D51250D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61" name="Shape 5">
          <a:extLst>
            <a:ext uri="{FF2B5EF4-FFF2-40B4-BE49-F238E27FC236}">
              <a16:creationId xmlns:a16="http://schemas.microsoft.com/office/drawing/2014/main" id="{4D70A7B9-FCA4-4120-8233-341E9BCEB581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62" name="Shape 5">
          <a:extLst>
            <a:ext uri="{FF2B5EF4-FFF2-40B4-BE49-F238E27FC236}">
              <a16:creationId xmlns:a16="http://schemas.microsoft.com/office/drawing/2014/main" id="{76762B2B-D316-4255-B7B3-D016AF2507F1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63" name="Shape 5">
          <a:extLst>
            <a:ext uri="{FF2B5EF4-FFF2-40B4-BE49-F238E27FC236}">
              <a16:creationId xmlns:a16="http://schemas.microsoft.com/office/drawing/2014/main" id="{8AFDD304-5409-4413-942A-A990A01AFF0F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64" name="Shape 5">
          <a:extLst>
            <a:ext uri="{FF2B5EF4-FFF2-40B4-BE49-F238E27FC236}">
              <a16:creationId xmlns:a16="http://schemas.microsoft.com/office/drawing/2014/main" id="{F1FDF8D4-63C8-489E-9B8F-0F5CB6E45082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65" name="Shape 5">
          <a:extLst>
            <a:ext uri="{FF2B5EF4-FFF2-40B4-BE49-F238E27FC236}">
              <a16:creationId xmlns:a16="http://schemas.microsoft.com/office/drawing/2014/main" id="{825C5EAB-C3AA-4786-B716-AD4BC1856626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66" name="Shape 5">
          <a:extLst>
            <a:ext uri="{FF2B5EF4-FFF2-40B4-BE49-F238E27FC236}">
              <a16:creationId xmlns:a16="http://schemas.microsoft.com/office/drawing/2014/main" id="{C65C18B4-1A11-4C4B-9DDA-C5A3CE3F8626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67" name="Shape 5">
          <a:extLst>
            <a:ext uri="{FF2B5EF4-FFF2-40B4-BE49-F238E27FC236}">
              <a16:creationId xmlns:a16="http://schemas.microsoft.com/office/drawing/2014/main" id="{887213C7-6EF9-42F6-AE71-952C578C5D04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68" name="Shape 6">
          <a:extLst>
            <a:ext uri="{FF2B5EF4-FFF2-40B4-BE49-F238E27FC236}">
              <a16:creationId xmlns:a16="http://schemas.microsoft.com/office/drawing/2014/main" id="{3B63A21B-EBB3-45AE-83F6-0731AAACE897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69" name="Shape 6">
          <a:extLst>
            <a:ext uri="{FF2B5EF4-FFF2-40B4-BE49-F238E27FC236}">
              <a16:creationId xmlns:a16="http://schemas.microsoft.com/office/drawing/2014/main" id="{4DE0F907-8508-445B-9696-EA19FFA67F90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70" name="Shape 6">
          <a:extLst>
            <a:ext uri="{FF2B5EF4-FFF2-40B4-BE49-F238E27FC236}">
              <a16:creationId xmlns:a16="http://schemas.microsoft.com/office/drawing/2014/main" id="{F6D0ECFD-AF64-4A3B-B449-8816962B6EB4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71" name="Shape 6">
          <a:extLst>
            <a:ext uri="{FF2B5EF4-FFF2-40B4-BE49-F238E27FC236}">
              <a16:creationId xmlns:a16="http://schemas.microsoft.com/office/drawing/2014/main" id="{C1D619B7-263A-470C-89A6-229BF2AB20E2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72" name="Shape 6">
          <a:extLst>
            <a:ext uri="{FF2B5EF4-FFF2-40B4-BE49-F238E27FC236}">
              <a16:creationId xmlns:a16="http://schemas.microsoft.com/office/drawing/2014/main" id="{2D07F0C4-1164-436B-8769-06A4879DE10A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473" name="Shape 7">
          <a:extLst>
            <a:ext uri="{FF2B5EF4-FFF2-40B4-BE49-F238E27FC236}">
              <a16:creationId xmlns:a16="http://schemas.microsoft.com/office/drawing/2014/main" id="{E02537D5-B531-4463-8682-1913C3CD56F7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74" name="Shape 6">
          <a:extLst>
            <a:ext uri="{FF2B5EF4-FFF2-40B4-BE49-F238E27FC236}">
              <a16:creationId xmlns:a16="http://schemas.microsoft.com/office/drawing/2014/main" id="{A8DCDA56-76C8-4E10-8774-96C1355C6B45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475" name="Shape 7">
          <a:extLst>
            <a:ext uri="{FF2B5EF4-FFF2-40B4-BE49-F238E27FC236}">
              <a16:creationId xmlns:a16="http://schemas.microsoft.com/office/drawing/2014/main" id="{112D707D-09A3-4355-8CBF-B81A0D2E0927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476" name="Shape 6">
          <a:extLst>
            <a:ext uri="{FF2B5EF4-FFF2-40B4-BE49-F238E27FC236}">
              <a16:creationId xmlns:a16="http://schemas.microsoft.com/office/drawing/2014/main" id="{E1E0E79C-130F-45C5-AB52-076FB41F3D8B}"/>
            </a:ext>
          </a:extLst>
        </xdr:cNvPr>
        <xdr:cNvSpPr/>
      </xdr:nvSpPr>
      <xdr:spPr>
        <a:xfrm>
          <a:off x="1466850" y="2078831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77" name="Shape 6">
          <a:extLst>
            <a:ext uri="{FF2B5EF4-FFF2-40B4-BE49-F238E27FC236}">
              <a16:creationId xmlns:a16="http://schemas.microsoft.com/office/drawing/2014/main" id="{A62F1C33-09F9-4FE1-AFF0-3FE2BE80B2B1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78" name="Shape 6">
          <a:extLst>
            <a:ext uri="{FF2B5EF4-FFF2-40B4-BE49-F238E27FC236}">
              <a16:creationId xmlns:a16="http://schemas.microsoft.com/office/drawing/2014/main" id="{07DEA11F-9767-48A4-95A1-3D87FAF80489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79" name="Shape 6">
          <a:extLst>
            <a:ext uri="{FF2B5EF4-FFF2-40B4-BE49-F238E27FC236}">
              <a16:creationId xmlns:a16="http://schemas.microsoft.com/office/drawing/2014/main" id="{0BFF68D7-1CF2-4EC7-ADF8-FC51D8527BE0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80" name="Shape 6">
          <a:extLst>
            <a:ext uri="{FF2B5EF4-FFF2-40B4-BE49-F238E27FC236}">
              <a16:creationId xmlns:a16="http://schemas.microsoft.com/office/drawing/2014/main" id="{DEEEE379-9610-49F0-9D88-8462F23C9FF6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81" name="Shape 6">
          <a:extLst>
            <a:ext uri="{FF2B5EF4-FFF2-40B4-BE49-F238E27FC236}">
              <a16:creationId xmlns:a16="http://schemas.microsoft.com/office/drawing/2014/main" id="{9ED7FD70-AFBE-49AE-8BAC-56FB6A53CE06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82" name="Shape 5">
          <a:extLst>
            <a:ext uri="{FF2B5EF4-FFF2-40B4-BE49-F238E27FC236}">
              <a16:creationId xmlns:a16="http://schemas.microsoft.com/office/drawing/2014/main" id="{AB4C09DC-B427-4B1C-98D7-1DE58794EB2A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83" name="Shape 5">
          <a:extLst>
            <a:ext uri="{FF2B5EF4-FFF2-40B4-BE49-F238E27FC236}">
              <a16:creationId xmlns:a16="http://schemas.microsoft.com/office/drawing/2014/main" id="{579D19FB-6A60-479E-8128-A44DB1DE2D67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84" name="Shape 5">
          <a:extLst>
            <a:ext uri="{FF2B5EF4-FFF2-40B4-BE49-F238E27FC236}">
              <a16:creationId xmlns:a16="http://schemas.microsoft.com/office/drawing/2014/main" id="{BFC74B63-BE37-4D8D-B4F9-407327D7B475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85" name="Shape 5">
          <a:extLst>
            <a:ext uri="{FF2B5EF4-FFF2-40B4-BE49-F238E27FC236}">
              <a16:creationId xmlns:a16="http://schemas.microsoft.com/office/drawing/2014/main" id="{260492D4-4641-43E5-8840-B9543128AEBB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86" name="Shape 5">
          <a:extLst>
            <a:ext uri="{FF2B5EF4-FFF2-40B4-BE49-F238E27FC236}">
              <a16:creationId xmlns:a16="http://schemas.microsoft.com/office/drawing/2014/main" id="{B4AD77A0-C9FC-4D28-9263-3F6CA278D881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487" name="Shape 4">
          <a:extLst>
            <a:ext uri="{FF2B5EF4-FFF2-40B4-BE49-F238E27FC236}">
              <a16:creationId xmlns:a16="http://schemas.microsoft.com/office/drawing/2014/main" id="{617A6B81-FFAB-44D6-969B-5403F3F63922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88" name="Shape 5">
          <a:extLst>
            <a:ext uri="{FF2B5EF4-FFF2-40B4-BE49-F238E27FC236}">
              <a16:creationId xmlns:a16="http://schemas.microsoft.com/office/drawing/2014/main" id="{F7936AE3-CF5E-4B1B-B27B-1FAE967C55F4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489" name="Shape 4">
          <a:extLst>
            <a:ext uri="{FF2B5EF4-FFF2-40B4-BE49-F238E27FC236}">
              <a16:creationId xmlns:a16="http://schemas.microsoft.com/office/drawing/2014/main" id="{AEC65BEE-CB44-48E9-B18E-CCD3D9B3D410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0" name="Shape 5">
          <a:extLst>
            <a:ext uri="{FF2B5EF4-FFF2-40B4-BE49-F238E27FC236}">
              <a16:creationId xmlns:a16="http://schemas.microsoft.com/office/drawing/2014/main" id="{D879A014-EBAE-49B3-9DB8-042965230163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1" name="Shape 5">
          <a:extLst>
            <a:ext uri="{FF2B5EF4-FFF2-40B4-BE49-F238E27FC236}">
              <a16:creationId xmlns:a16="http://schemas.microsoft.com/office/drawing/2014/main" id="{2BA0E3AB-BAB3-405A-89E4-624D16FB3C12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2" name="Shape 5">
          <a:extLst>
            <a:ext uri="{FF2B5EF4-FFF2-40B4-BE49-F238E27FC236}">
              <a16:creationId xmlns:a16="http://schemas.microsoft.com/office/drawing/2014/main" id="{4B3C9E72-1D1C-4847-AA08-643E52E87638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3" name="Shape 5">
          <a:extLst>
            <a:ext uri="{FF2B5EF4-FFF2-40B4-BE49-F238E27FC236}">
              <a16:creationId xmlns:a16="http://schemas.microsoft.com/office/drawing/2014/main" id="{5C195719-2FF3-4B9E-A39D-D9FDD7BE6399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4" name="Shape 5">
          <a:extLst>
            <a:ext uri="{FF2B5EF4-FFF2-40B4-BE49-F238E27FC236}">
              <a16:creationId xmlns:a16="http://schemas.microsoft.com/office/drawing/2014/main" id="{3835A90C-FCA4-48F5-9A16-F9B27A446742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5" name="Shape 5">
          <a:extLst>
            <a:ext uri="{FF2B5EF4-FFF2-40B4-BE49-F238E27FC236}">
              <a16:creationId xmlns:a16="http://schemas.microsoft.com/office/drawing/2014/main" id="{5FCD0674-4151-4D3C-B80A-CFE9E5128363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6" name="Shape 5">
          <a:extLst>
            <a:ext uri="{FF2B5EF4-FFF2-40B4-BE49-F238E27FC236}">
              <a16:creationId xmlns:a16="http://schemas.microsoft.com/office/drawing/2014/main" id="{53DB386B-9DBC-4648-AAB5-0C4BC726E751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7" name="Shape 5">
          <a:extLst>
            <a:ext uri="{FF2B5EF4-FFF2-40B4-BE49-F238E27FC236}">
              <a16:creationId xmlns:a16="http://schemas.microsoft.com/office/drawing/2014/main" id="{ADFA1A69-329F-4AB5-A5A2-FB197479E154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8" name="Shape 5">
          <a:extLst>
            <a:ext uri="{FF2B5EF4-FFF2-40B4-BE49-F238E27FC236}">
              <a16:creationId xmlns:a16="http://schemas.microsoft.com/office/drawing/2014/main" id="{BA834C18-E9BA-4C59-B181-BE64903663CA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499" name="Shape 5">
          <a:extLst>
            <a:ext uri="{FF2B5EF4-FFF2-40B4-BE49-F238E27FC236}">
              <a16:creationId xmlns:a16="http://schemas.microsoft.com/office/drawing/2014/main" id="{B12FD324-FF52-4E5F-8FFF-4A9D70B82036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500" name="Shape 5">
          <a:extLst>
            <a:ext uri="{FF2B5EF4-FFF2-40B4-BE49-F238E27FC236}">
              <a16:creationId xmlns:a16="http://schemas.microsoft.com/office/drawing/2014/main" id="{AC781B93-49E5-4326-A8C0-E2EAFF45F869}"/>
            </a:ext>
          </a:extLst>
        </xdr:cNvPr>
        <xdr:cNvSpPr/>
      </xdr:nvSpPr>
      <xdr:spPr>
        <a:xfrm>
          <a:off x="1466850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01" name="Shape 4">
          <a:extLst>
            <a:ext uri="{FF2B5EF4-FFF2-40B4-BE49-F238E27FC236}">
              <a16:creationId xmlns:a16="http://schemas.microsoft.com/office/drawing/2014/main" id="{61FE5851-1926-4D9C-A261-80A93F7CFF94}"/>
            </a:ext>
          </a:extLst>
        </xdr:cNvPr>
        <xdr:cNvSpPr/>
      </xdr:nvSpPr>
      <xdr:spPr>
        <a:xfrm>
          <a:off x="7577138" y="2099071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02" name="Shape 4">
          <a:extLst>
            <a:ext uri="{FF2B5EF4-FFF2-40B4-BE49-F238E27FC236}">
              <a16:creationId xmlns:a16="http://schemas.microsoft.com/office/drawing/2014/main" id="{73C4CBCA-3AA5-4227-B3ED-6251D9647EC1}"/>
            </a:ext>
          </a:extLst>
        </xdr:cNvPr>
        <xdr:cNvSpPr/>
      </xdr:nvSpPr>
      <xdr:spPr>
        <a:xfrm>
          <a:off x="7577138" y="2099071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03" name="Shape 7">
          <a:extLst>
            <a:ext uri="{FF2B5EF4-FFF2-40B4-BE49-F238E27FC236}">
              <a16:creationId xmlns:a16="http://schemas.microsoft.com/office/drawing/2014/main" id="{EC77DFF2-5B94-4268-BC19-13CF51610EB8}"/>
            </a:ext>
          </a:extLst>
        </xdr:cNvPr>
        <xdr:cNvSpPr/>
      </xdr:nvSpPr>
      <xdr:spPr>
        <a:xfrm>
          <a:off x="7577138" y="2099071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04" name="Shape 7">
          <a:extLst>
            <a:ext uri="{FF2B5EF4-FFF2-40B4-BE49-F238E27FC236}">
              <a16:creationId xmlns:a16="http://schemas.microsoft.com/office/drawing/2014/main" id="{4B13220D-CC45-4CCA-99A2-A2F9EE0654D4}"/>
            </a:ext>
          </a:extLst>
        </xdr:cNvPr>
        <xdr:cNvSpPr/>
      </xdr:nvSpPr>
      <xdr:spPr>
        <a:xfrm>
          <a:off x="7577138" y="2099071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05" name="Shape 4">
          <a:extLst>
            <a:ext uri="{FF2B5EF4-FFF2-40B4-BE49-F238E27FC236}">
              <a16:creationId xmlns:a16="http://schemas.microsoft.com/office/drawing/2014/main" id="{A66D0FBE-38EE-4A03-AFAD-EBB3A61CFAB1}"/>
            </a:ext>
          </a:extLst>
        </xdr:cNvPr>
        <xdr:cNvSpPr/>
      </xdr:nvSpPr>
      <xdr:spPr>
        <a:xfrm>
          <a:off x="7577138" y="2099071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06" name="Shape 4">
          <a:extLst>
            <a:ext uri="{FF2B5EF4-FFF2-40B4-BE49-F238E27FC236}">
              <a16:creationId xmlns:a16="http://schemas.microsoft.com/office/drawing/2014/main" id="{344B87FD-AF98-45D5-987C-E72FC5E2F826}"/>
            </a:ext>
          </a:extLst>
        </xdr:cNvPr>
        <xdr:cNvSpPr/>
      </xdr:nvSpPr>
      <xdr:spPr>
        <a:xfrm>
          <a:off x="7577138" y="2099071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07" name="Shape 4">
          <a:extLst>
            <a:ext uri="{FF2B5EF4-FFF2-40B4-BE49-F238E27FC236}">
              <a16:creationId xmlns:a16="http://schemas.microsoft.com/office/drawing/2014/main" id="{D44870E2-862D-483D-BE08-0E2F506839FD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08" name="Shape 4">
          <a:extLst>
            <a:ext uri="{FF2B5EF4-FFF2-40B4-BE49-F238E27FC236}">
              <a16:creationId xmlns:a16="http://schemas.microsoft.com/office/drawing/2014/main" id="{A4D63B46-C364-4AE2-BAF5-B54EF38B11EE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09" name="Shape 7">
          <a:extLst>
            <a:ext uri="{FF2B5EF4-FFF2-40B4-BE49-F238E27FC236}">
              <a16:creationId xmlns:a16="http://schemas.microsoft.com/office/drawing/2014/main" id="{8E42FABE-BAC1-473E-B117-CE38852864CA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10" name="Shape 7">
          <a:extLst>
            <a:ext uri="{FF2B5EF4-FFF2-40B4-BE49-F238E27FC236}">
              <a16:creationId xmlns:a16="http://schemas.microsoft.com/office/drawing/2014/main" id="{6817864B-936A-4081-97D8-4BB1F757DE6E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11" name="Shape 4">
          <a:extLst>
            <a:ext uri="{FF2B5EF4-FFF2-40B4-BE49-F238E27FC236}">
              <a16:creationId xmlns:a16="http://schemas.microsoft.com/office/drawing/2014/main" id="{E42B9F5F-66D2-4C8E-AB13-6AB8175517A3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103</xdr:row>
      <xdr:rowOff>0</xdr:rowOff>
    </xdr:from>
    <xdr:ext cx="38100" cy="9525"/>
    <xdr:sp macro="" textlink="">
      <xdr:nvSpPr>
        <xdr:cNvPr id="1512" name="Shape 4">
          <a:extLst>
            <a:ext uri="{FF2B5EF4-FFF2-40B4-BE49-F238E27FC236}">
              <a16:creationId xmlns:a16="http://schemas.microsoft.com/office/drawing/2014/main" id="{2E2B6014-04DF-431F-A2C7-95E290FBB339}"/>
            </a:ext>
          </a:extLst>
        </xdr:cNvPr>
        <xdr:cNvSpPr/>
      </xdr:nvSpPr>
      <xdr:spPr>
        <a:xfrm>
          <a:off x="7577138" y="2078831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13" name="Shape 5">
          <a:extLst>
            <a:ext uri="{FF2B5EF4-FFF2-40B4-BE49-F238E27FC236}">
              <a16:creationId xmlns:a16="http://schemas.microsoft.com/office/drawing/2014/main" id="{9F4C640D-9985-4A83-83CE-5F6F96300640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14" name="Shape 5">
          <a:extLst>
            <a:ext uri="{FF2B5EF4-FFF2-40B4-BE49-F238E27FC236}">
              <a16:creationId xmlns:a16="http://schemas.microsoft.com/office/drawing/2014/main" id="{25FC09B8-1311-45EF-8D5E-1786D449CB0A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15" name="Shape 5">
          <a:extLst>
            <a:ext uri="{FF2B5EF4-FFF2-40B4-BE49-F238E27FC236}">
              <a16:creationId xmlns:a16="http://schemas.microsoft.com/office/drawing/2014/main" id="{C45D1155-F580-426C-A219-D6554FA2E634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16" name="Shape 5">
          <a:extLst>
            <a:ext uri="{FF2B5EF4-FFF2-40B4-BE49-F238E27FC236}">
              <a16:creationId xmlns:a16="http://schemas.microsoft.com/office/drawing/2014/main" id="{D2BE0AF9-9528-49E7-B0CE-A53911912F95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17" name="Shape 5">
          <a:extLst>
            <a:ext uri="{FF2B5EF4-FFF2-40B4-BE49-F238E27FC236}">
              <a16:creationId xmlns:a16="http://schemas.microsoft.com/office/drawing/2014/main" id="{DA6BF4ED-546B-4B30-ADBB-4A6BAD222AE3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18" name="Shape 4">
          <a:extLst>
            <a:ext uri="{FF2B5EF4-FFF2-40B4-BE49-F238E27FC236}">
              <a16:creationId xmlns:a16="http://schemas.microsoft.com/office/drawing/2014/main" id="{D4FD11DF-6431-4F22-9ADC-A121D339D219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19" name="Shape 5">
          <a:extLst>
            <a:ext uri="{FF2B5EF4-FFF2-40B4-BE49-F238E27FC236}">
              <a16:creationId xmlns:a16="http://schemas.microsoft.com/office/drawing/2014/main" id="{314428DD-08EF-48EA-9EB3-2ECD3503F810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20" name="Shape 4">
          <a:extLst>
            <a:ext uri="{FF2B5EF4-FFF2-40B4-BE49-F238E27FC236}">
              <a16:creationId xmlns:a16="http://schemas.microsoft.com/office/drawing/2014/main" id="{02EC7F33-4A5D-4EAA-8AD1-DF9E70E875C8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21" name="Shape 6">
          <a:extLst>
            <a:ext uri="{FF2B5EF4-FFF2-40B4-BE49-F238E27FC236}">
              <a16:creationId xmlns:a16="http://schemas.microsoft.com/office/drawing/2014/main" id="{A8C7758D-7993-43A0-8A81-E912FF0E8B76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22" name="Shape 6">
          <a:extLst>
            <a:ext uri="{FF2B5EF4-FFF2-40B4-BE49-F238E27FC236}">
              <a16:creationId xmlns:a16="http://schemas.microsoft.com/office/drawing/2014/main" id="{34E01D40-24B7-4239-9489-0E5813158032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23" name="Shape 6">
          <a:extLst>
            <a:ext uri="{FF2B5EF4-FFF2-40B4-BE49-F238E27FC236}">
              <a16:creationId xmlns:a16="http://schemas.microsoft.com/office/drawing/2014/main" id="{92505F87-485A-422D-8835-A9126B65728D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24" name="Shape 6">
          <a:extLst>
            <a:ext uri="{FF2B5EF4-FFF2-40B4-BE49-F238E27FC236}">
              <a16:creationId xmlns:a16="http://schemas.microsoft.com/office/drawing/2014/main" id="{F0F4CBCC-BC89-4BB7-AE00-F72019608EDD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25" name="Shape 6">
          <a:extLst>
            <a:ext uri="{FF2B5EF4-FFF2-40B4-BE49-F238E27FC236}">
              <a16:creationId xmlns:a16="http://schemas.microsoft.com/office/drawing/2014/main" id="{6E0ADC51-65AF-4BC0-8181-109CFA8217EF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26" name="Shape 6">
          <a:extLst>
            <a:ext uri="{FF2B5EF4-FFF2-40B4-BE49-F238E27FC236}">
              <a16:creationId xmlns:a16="http://schemas.microsoft.com/office/drawing/2014/main" id="{647A4A71-CB20-4C6B-A573-08B8775B098C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27" name="Shape 6">
          <a:extLst>
            <a:ext uri="{FF2B5EF4-FFF2-40B4-BE49-F238E27FC236}">
              <a16:creationId xmlns:a16="http://schemas.microsoft.com/office/drawing/2014/main" id="{99543F0E-AE87-4375-AFB5-6BC82D18EA67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28" name="Shape 6">
          <a:extLst>
            <a:ext uri="{FF2B5EF4-FFF2-40B4-BE49-F238E27FC236}">
              <a16:creationId xmlns:a16="http://schemas.microsoft.com/office/drawing/2014/main" id="{ED89220A-8597-483A-86C6-DBAABF283573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29" name="Shape 6">
          <a:extLst>
            <a:ext uri="{FF2B5EF4-FFF2-40B4-BE49-F238E27FC236}">
              <a16:creationId xmlns:a16="http://schemas.microsoft.com/office/drawing/2014/main" id="{02DCBAA2-F69B-47BC-80D0-CA34E10B85A9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30" name="Shape 5">
          <a:extLst>
            <a:ext uri="{FF2B5EF4-FFF2-40B4-BE49-F238E27FC236}">
              <a16:creationId xmlns:a16="http://schemas.microsoft.com/office/drawing/2014/main" id="{D803A305-C95E-4DAF-97EA-C644E1BCBDC1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31" name="Shape 5">
          <a:extLst>
            <a:ext uri="{FF2B5EF4-FFF2-40B4-BE49-F238E27FC236}">
              <a16:creationId xmlns:a16="http://schemas.microsoft.com/office/drawing/2014/main" id="{82A50483-B78A-4324-A579-222B2DC1BF2A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32" name="Shape 5">
          <a:extLst>
            <a:ext uri="{FF2B5EF4-FFF2-40B4-BE49-F238E27FC236}">
              <a16:creationId xmlns:a16="http://schemas.microsoft.com/office/drawing/2014/main" id="{A51A5AAC-B83E-4EDF-9BB9-D79AAA396A07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33" name="Shape 5">
          <a:extLst>
            <a:ext uri="{FF2B5EF4-FFF2-40B4-BE49-F238E27FC236}">
              <a16:creationId xmlns:a16="http://schemas.microsoft.com/office/drawing/2014/main" id="{3E94D704-ACCA-4C12-8040-6BB3EF6A576D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34" name="Shape 5">
          <a:extLst>
            <a:ext uri="{FF2B5EF4-FFF2-40B4-BE49-F238E27FC236}">
              <a16:creationId xmlns:a16="http://schemas.microsoft.com/office/drawing/2014/main" id="{8C393471-8B08-4CA4-943E-AF15A957D2AD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35" name="Shape 5">
          <a:extLst>
            <a:ext uri="{FF2B5EF4-FFF2-40B4-BE49-F238E27FC236}">
              <a16:creationId xmlns:a16="http://schemas.microsoft.com/office/drawing/2014/main" id="{CFFC99F3-CEE4-48F8-A1CC-A5DD2C09BFFC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36" name="Shape 5">
          <a:extLst>
            <a:ext uri="{FF2B5EF4-FFF2-40B4-BE49-F238E27FC236}">
              <a16:creationId xmlns:a16="http://schemas.microsoft.com/office/drawing/2014/main" id="{486B7247-6EEF-40EC-B37D-958364AA2ABB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37" name="Shape 5">
          <a:extLst>
            <a:ext uri="{FF2B5EF4-FFF2-40B4-BE49-F238E27FC236}">
              <a16:creationId xmlns:a16="http://schemas.microsoft.com/office/drawing/2014/main" id="{299CD7FE-4EF3-4488-BD9F-ADF4E0B3D6E6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38" name="Shape 6">
          <a:extLst>
            <a:ext uri="{FF2B5EF4-FFF2-40B4-BE49-F238E27FC236}">
              <a16:creationId xmlns:a16="http://schemas.microsoft.com/office/drawing/2014/main" id="{93D65157-77CF-44F3-87F2-B1E4AC1E2ACE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39" name="Shape 6">
          <a:extLst>
            <a:ext uri="{FF2B5EF4-FFF2-40B4-BE49-F238E27FC236}">
              <a16:creationId xmlns:a16="http://schemas.microsoft.com/office/drawing/2014/main" id="{10D8ECF0-6FD3-43A5-83D1-F821D1DAAE25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40" name="Shape 6">
          <a:extLst>
            <a:ext uri="{FF2B5EF4-FFF2-40B4-BE49-F238E27FC236}">
              <a16:creationId xmlns:a16="http://schemas.microsoft.com/office/drawing/2014/main" id="{C7F19CB4-9B60-444C-9C1C-C768242DFCD4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41" name="Shape 6">
          <a:extLst>
            <a:ext uri="{FF2B5EF4-FFF2-40B4-BE49-F238E27FC236}">
              <a16:creationId xmlns:a16="http://schemas.microsoft.com/office/drawing/2014/main" id="{D1725C56-707E-4A1F-915B-4CFC9AB70343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42" name="Shape 6">
          <a:extLst>
            <a:ext uri="{FF2B5EF4-FFF2-40B4-BE49-F238E27FC236}">
              <a16:creationId xmlns:a16="http://schemas.microsoft.com/office/drawing/2014/main" id="{F14B3A78-1556-4464-9A81-44D5D4644B13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43" name="Shape 7">
          <a:extLst>
            <a:ext uri="{FF2B5EF4-FFF2-40B4-BE49-F238E27FC236}">
              <a16:creationId xmlns:a16="http://schemas.microsoft.com/office/drawing/2014/main" id="{77FA4AC6-4446-4E2A-A131-1887B583DA00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44" name="Shape 6">
          <a:extLst>
            <a:ext uri="{FF2B5EF4-FFF2-40B4-BE49-F238E27FC236}">
              <a16:creationId xmlns:a16="http://schemas.microsoft.com/office/drawing/2014/main" id="{74F306B3-FD45-4390-AA63-67E6A25D2F4E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45" name="Shape 7">
          <a:extLst>
            <a:ext uri="{FF2B5EF4-FFF2-40B4-BE49-F238E27FC236}">
              <a16:creationId xmlns:a16="http://schemas.microsoft.com/office/drawing/2014/main" id="{2C447028-0887-4946-B1CD-B08EE5514791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546" name="Shape 6">
          <a:extLst>
            <a:ext uri="{FF2B5EF4-FFF2-40B4-BE49-F238E27FC236}">
              <a16:creationId xmlns:a16="http://schemas.microsoft.com/office/drawing/2014/main" id="{48D439A8-5D38-4CF6-9393-970B7AE51E98}"/>
            </a:ext>
          </a:extLst>
        </xdr:cNvPr>
        <xdr:cNvSpPr/>
      </xdr:nvSpPr>
      <xdr:spPr>
        <a:xfrm>
          <a:off x="1466850" y="24645938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47" name="Shape 6">
          <a:extLst>
            <a:ext uri="{FF2B5EF4-FFF2-40B4-BE49-F238E27FC236}">
              <a16:creationId xmlns:a16="http://schemas.microsoft.com/office/drawing/2014/main" id="{44102807-1B78-446D-8519-848787A63451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48" name="Shape 6">
          <a:extLst>
            <a:ext uri="{FF2B5EF4-FFF2-40B4-BE49-F238E27FC236}">
              <a16:creationId xmlns:a16="http://schemas.microsoft.com/office/drawing/2014/main" id="{BE09ACCA-2474-44BB-AC21-0A9C68CEF1CE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49" name="Shape 6">
          <a:extLst>
            <a:ext uri="{FF2B5EF4-FFF2-40B4-BE49-F238E27FC236}">
              <a16:creationId xmlns:a16="http://schemas.microsoft.com/office/drawing/2014/main" id="{28CE7AE1-36AB-4A95-9497-DAF8DF645351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50" name="Shape 6">
          <a:extLst>
            <a:ext uri="{FF2B5EF4-FFF2-40B4-BE49-F238E27FC236}">
              <a16:creationId xmlns:a16="http://schemas.microsoft.com/office/drawing/2014/main" id="{72B4B7C5-D95A-41E5-9370-581B9C5D1614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51" name="Shape 6">
          <a:extLst>
            <a:ext uri="{FF2B5EF4-FFF2-40B4-BE49-F238E27FC236}">
              <a16:creationId xmlns:a16="http://schemas.microsoft.com/office/drawing/2014/main" id="{4A5B8823-375E-4C33-9230-910E1BD39A92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52" name="Shape 5">
          <a:extLst>
            <a:ext uri="{FF2B5EF4-FFF2-40B4-BE49-F238E27FC236}">
              <a16:creationId xmlns:a16="http://schemas.microsoft.com/office/drawing/2014/main" id="{1FBABC31-C865-40E0-81E4-FE0D67368BC6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53" name="Shape 5">
          <a:extLst>
            <a:ext uri="{FF2B5EF4-FFF2-40B4-BE49-F238E27FC236}">
              <a16:creationId xmlns:a16="http://schemas.microsoft.com/office/drawing/2014/main" id="{F4BE2A24-572E-4C88-A1B2-99490A21E9E5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54" name="Shape 5">
          <a:extLst>
            <a:ext uri="{FF2B5EF4-FFF2-40B4-BE49-F238E27FC236}">
              <a16:creationId xmlns:a16="http://schemas.microsoft.com/office/drawing/2014/main" id="{5F8E6B41-7872-45C7-ADC5-19BB53A45F1B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55" name="Shape 5">
          <a:extLst>
            <a:ext uri="{FF2B5EF4-FFF2-40B4-BE49-F238E27FC236}">
              <a16:creationId xmlns:a16="http://schemas.microsoft.com/office/drawing/2014/main" id="{99FECB50-CE84-4BAD-8ECF-4C2194C8872D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56" name="Shape 5">
          <a:extLst>
            <a:ext uri="{FF2B5EF4-FFF2-40B4-BE49-F238E27FC236}">
              <a16:creationId xmlns:a16="http://schemas.microsoft.com/office/drawing/2014/main" id="{9ECAB139-3926-4BD8-9C4C-370266805475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57" name="Shape 4">
          <a:extLst>
            <a:ext uri="{FF2B5EF4-FFF2-40B4-BE49-F238E27FC236}">
              <a16:creationId xmlns:a16="http://schemas.microsoft.com/office/drawing/2014/main" id="{041EB27A-F540-4C64-BC1D-6279D153DF44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58" name="Shape 5">
          <a:extLst>
            <a:ext uri="{FF2B5EF4-FFF2-40B4-BE49-F238E27FC236}">
              <a16:creationId xmlns:a16="http://schemas.microsoft.com/office/drawing/2014/main" id="{3C1CD5C5-F5C0-44E2-923A-8F779AA4198E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59" name="Shape 4">
          <a:extLst>
            <a:ext uri="{FF2B5EF4-FFF2-40B4-BE49-F238E27FC236}">
              <a16:creationId xmlns:a16="http://schemas.microsoft.com/office/drawing/2014/main" id="{069FCF35-4969-4946-B250-9D347A5B516F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0" name="Shape 5">
          <a:extLst>
            <a:ext uri="{FF2B5EF4-FFF2-40B4-BE49-F238E27FC236}">
              <a16:creationId xmlns:a16="http://schemas.microsoft.com/office/drawing/2014/main" id="{2E998675-1A65-4DC1-BC87-EB1C313361E5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1" name="Shape 5">
          <a:extLst>
            <a:ext uri="{FF2B5EF4-FFF2-40B4-BE49-F238E27FC236}">
              <a16:creationId xmlns:a16="http://schemas.microsoft.com/office/drawing/2014/main" id="{4792A593-7F52-4D0E-9D70-2DEDBA538C2B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2" name="Shape 5">
          <a:extLst>
            <a:ext uri="{FF2B5EF4-FFF2-40B4-BE49-F238E27FC236}">
              <a16:creationId xmlns:a16="http://schemas.microsoft.com/office/drawing/2014/main" id="{53213C19-D7EC-454B-B696-1926B2736005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3" name="Shape 5">
          <a:extLst>
            <a:ext uri="{FF2B5EF4-FFF2-40B4-BE49-F238E27FC236}">
              <a16:creationId xmlns:a16="http://schemas.microsoft.com/office/drawing/2014/main" id="{20356CF2-9044-483D-AF5B-7F77DE718064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4" name="Shape 5">
          <a:extLst>
            <a:ext uri="{FF2B5EF4-FFF2-40B4-BE49-F238E27FC236}">
              <a16:creationId xmlns:a16="http://schemas.microsoft.com/office/drawing/2014/main" id="{80AF28D7-0B2B-4DAE-BC5B-C4580E5555B6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5" name="Shape 5">
          <a:extLst>
            <a:ext uri="{FF2B5EF4-FFF2-40B4-BE49-F238E27FC236}">
              <a16:creationId xmlns:a16="http://schemas.microsoft.com/office/drawing/2014/main" id="{CD4265D7-54ED-4E5E-B463-9F8CA7D1945E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6" name="Shape 5">
          <a:extLst>
            <a:ext uri="{FF2B5EF4-FFF2-40B4-BE49-F238E27FC236}">
              <a16:creationId xmlns:a16="http://schemas.microsoft.com/office/drawing/2014/main" id="{63D0D3C0-65A5-4798-BFF4-ACC41AE3DC99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7" name="Shape 5">
          <a:extLst>
            <a:ext uri="{FF2B5EF4-FFF2-40B4-BE49-F238E27FC236}">
              <a16:creationId xmlns:a16="http://schemas.microsoft.com/office/drawing/2014/main" id="{8B69AACD-ED6F-406C-BB05-1A541B94EB7F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8" name="Shape 5">
          <a:extLst>
            <a:ext uri="{FF2B5EF4-FFF2-40B4-BE49-F238E27FC236}">
              <a16:creationId xmlns:a16="http://schemas.microsoft.com/office/drawing/2014/main" id="{D7BEA0C0-2362-475D-A4AC-1B018C758027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69" name="Shape 5">
          <a:extLst>
            <a:ext uri="{FF2B5EF4-FFF2-40B4-BE49-F238E27FC236}">
              <a16:creationId xmlns:a16="http://schemas.microsoft.com/office/drawing/2014/main" id="{F311AA0C-900A-44EF-8476-30D5C0EA4F69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570" name="Shape 5">
          <a:extLst>
            <a:ext uri="{FF2B5EF4-FFF2-40B4-BE49-F238E27FC236}">
              <a16:creationId xmlns:a16="http://schemas.microsoft.com/office/drawing/2014/main" id="{F9CCF48E-E0FE-41C0-9D97-E91FFC1786CF}"/>
            </a:ext>
          </a:extLst>
        </xdr:cNvPr>
        <xdr:cNvSpPr/>
      </xdr:nvSpPr>
      <xdr:spPr>
        <a:xfrm>
          <a:off x="1466850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71" name="Shape 4">
          <a:extLst>
            <a:ext uri="{FF2B5EF4-FFF2-40B4-BE49-F238E27FC236}">
              <a16:creationId xmlns:a16="http://schemas.microsoft.com/office/drawing/2014/main" id="{D096A075-2DDD-4201-AF04-68B3FAE4143B}"/>
            </a:ext>
          </a:extLst>
        </xdr:cNvPr>
        <xdr:cNvSpPr/>
      </xdr:nvSpPr>
      <xdr:spPr>
        <a:xfrm>
          <a:off x="7577138" y="248483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72" name="Shape 4">
          <a:extLst>
            <a:ext uri="{FF2B5EF4-FFF2-40B4-BE49-F238E27FC236}">
              <a16:creationId xmlns:a16="http://schemas.microsoft.com/office/drawing/2014/main" id="{7ACCF62D-1D05-4FAE-85EE-7A314FCD6C10}"/>
            </a:ext>
          </a:extLst>
        </xdr:cNvPr>
        <xdr:cNvSpPr/>
      </xdr:nvSpPr>
      <xdr:spPr>
        <a:xfrm>
          <a:off x="7577138" y="248483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73" name="Shape 7">
          <a:extLst>
            <a:ext uri="{FF2B5EF4-FFF2-40B4-BE49-F238E27FC236}">
              <a16:creationId xmlns:a16="http://schemas.microsoft.com/office/drawing/2014/main" id="{DAA9C57A-DAFD-42C7-96F0-B21DBE08A013}"/>
            </a:ext>
          </a:extLst>
        </xdr:cNvPr>
        <xdr:cNvSpPr/>
      </xdr:nvSpPr>
      <xdr:spPr>
        <a:xfrm>
          <a:off x="7577138" y="248483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74" name="Shape 7">
          <a:extLst>
            <a:ext uri="{FF2B5EF4-FFF2-40B4-BE49-F238E27FC236}">
              <a16:creationId xmlns:a16="http://schemas.microsoft.com/office/drawing/2014/main" id="{9944F1EF-5FFA-4D5E-8C51-EB27B5E21AF0}"/>
            </a:ext>
          </a:extLst>
        </xdr:cNvPr>
        <xdr:cNvSpPr/>
      </xdr:nvSpPr>
      <xdr:spPr>
        <a:xfrm>
          <a:off x="7577138" y="248483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75" name="Shape 4">
          <a:extLst>
            <a:ext uri="{FF2B5EF4-FFF2-40B4-BE49-F238E27FC236}">
              <a16:creationId xmlns:a16="http://schemas.microsoft.com/office/drawing/2014/main" id="{81421858-FED5-4C3C-8548-31E0AE25DF34}"/>
            </a:ext>
          </a:extLst>
        </xdr:cNvPr>
        <xdr:cNvSpPr/>
      </xdr:nvSpPr>
      <xdr:spPr>
        <a:xfrm>
          <a:off x="7577138" y="248483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76" name="Shape 4">
          <a:extLst>
            <a:ext uri="{FF2B5EF4-FFF2-40B4-BE49-F238E27FC236}">
              <a16:creationId xmlns:a16="http://schemas.microsoft.com/office/drawing/2014/main" id="{40127090-119A-4556-9DB1-D8B446EF1DFD}"/>
            </a:ext>
          </a:extLst>
        </xdr:cNvPr>
        <xdr:cNvSpPr/>
      </xdr:nvSpPr>
      <xdr:spPr>
        <a:xfrm>
          <a:off x="7577138" y="24848344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77" name="Shape 4">
          <a:extLst>
            <a:ext uri="{FF2B5EF4-FFF2-40B4-BE49-F238E27FC236}">
              <a16:creationId xmlns:a16="http://schemas.microsoft.com/office/drawing/2014/main" id="{ED2DA945-5C28-49BC-9B69-FD5564A5AF8C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78" name="Shape 4">
          <a:extLst>
            <a:ext uri="{FF2B5EF4-FFF2-40B4-BE49-F238E27FC236}">
              <a16:creationId xmlns:a16="http://schemas.microsoft.com/office/drawing/2014/main" id="{28A505C1-0877-4F0D-AEF5-91BA8A39AC7F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79" name="Shape 7">
          <a:extLst>
            <a:ext uri="{FF2B5EF4-FFF2-40B4-BE49-F238E27FC236}">
              <a16:creationId xmlns:a16="http://schemas.microsoft.com/office/drawing/2014/main" id="{89F95D65-EDA2-4EC5-9EEA-2EC38D267257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80" name="Shape 7">
          <a:extLst>
            <a:ext uri="{FF2B5EF4-FFF2-40B4-BE49-F238E27FC236}">
              <a16:creationId xmlns:a16="http://schemas.microsoft.com/office/drawing/2014/main" id="{2C8F1DE3-8005-4EEE-A7FE-E21F4AEFA202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81" name="Shape 4">
          <a:extLst>
            <a:ext uri="{FF2B5EF4-FFF2-40B4-BE49-F238E27FC236}">
              <a16:creationId xmlns:a16="http://schemas.microsoft.com/office/drawing/2014/main" id="{B27ABDFE-1651-497D-9313-26FE2408D160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104</xdr:row>
      <xdr:rowOff>0</xdr:rowOff>
    </xdr:from>
    <xdr:ext cx="38100" cy="9525"/>
    <xdr:sp macro="" textlink="">
      <xdr:nvSpPr>
        <xdr:cNvPr id="1582" name="Shape 4">
          <a:extLst>
            <a:ext uri="{FF2B5EF4-FFF2-40B4-BE49-F238E27FC236}">
              <a16:creationId xmlns:a16="http://schemas.microsoft.com/office/drawing/2014/main" id="{EDBDA75A-10B6-4DB0-80D4-DD1D0799E162}"/>
            </a:ext>
          </a:extLst>
        </xdr:cNvPr>
        <xdr:cNvSpPr/>
      </xdr:nvSpPr>
      <xdr:spPr>
        <a:xfrm>
          <a:off x="7577138" y="24645938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583" name="Shape 5">
          <a:extLst>
            <a:ext uri="{FF2B5EF4-FFF2-40B4-BE49-F238E27FC236}">
              <a16:creationId xmlns:a16="http://schemas.microsoft.com/office/drawing/2014/main" id="{D8824B9A-1D18-4570-BF8E-66B6A2B7224B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584" name="Shape 5">
          <a:extLst>
            <a:ext uri="{FF2B5EF4-FFF2-40B4-BE49-F238E27FC236}">
              <a16:creationId xmlns:a16="http://schemas.microsoft.com/office/drawing/2014/main" id="{87ACF953-80E1-429E-81BD-662EFFB62EEB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585" name="Shape 5">
          <a:extLst>
            <a:ext uri="{FF2B5EF4-FFF2-40B4-BE49-F238E27FC236}">
              <a16:creationId xmlns:a16="http://schemas.microsoft.com/office/drawing/2014/main" id="{5FB83AE1-4B69-4478-96F4-A589D99416F1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586" name="Shape 5">
          <a:extLst>
            <a:ext uri="{FF2B5EF4-FFF2-40B4-BE49-F238E27FC236}">
              <a16:creationId xmlns:a16="http://schemas.microsoft.com/office/drawing/2014/main" id="{82BBB4CC-3326-4B5C-A09F-6A52BEFFDA7E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587" name="Shape 5">
          <a:extLst>
            <a:ext uri="{FF2B5EF4-FFF2-40B4-BE49-F238E27FC236}">
              <a16:creationId xmlns:a16="http://schemas.microsoft.com/office/drawing/2014/main" id="{5E702188-925C-4C6A-AE1A-EBC1F6B561C6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588" name="Shape 4">
          <a:extLst>
            <a:ext uri="{FF2B5EF4-FFF2-40B4-BE49-F238E27FC236}">
              <a16:creationId xmlns:a16="http://schemas.microsoft.com/office/drawing/2014/main" id="{B1AF13BA-03BE-4553-A6E2-B8538A606993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589" name="Shape 5">
          <a:extLst>
            <a:ext uri="{FF2B5EF4-FFF2-40B4-BE49-F238E27FC236}">
              <a16:creationId xmlns:a16="http://schemas.microsoft.com/office/drawing/2014/main" id="{9417BD3E-A492-4595-8264-B07235D748B1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590" name="Shape 4">
          <a:extLst>
            <a:ext uri="{FF2B5EF4-FFF2-40B4-BE49-F238E27FC236}">
              <a16:creationId xmlns:a16="http://schemas.microsoft.com/office/drawing/2014/main" id="{08DF5E87-B2D5-456B-866F-8F4666E9DCDD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591" name="Shape 6">
          <a:extLst>
            <a:ext uri="{FF2B5EF4-FFF2-40B4-BE49-F238E27FC236}">
              <a16:creationId xmlns:a16="http://schemas.microsoft.com/office/drawing/2014/main" id="{E52A3A4B-5E84-4BFF-99EE-C8206AE4375C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592" name="Shape 6">
          <a:extLst>
            <a:ext uri="{FF2B5EF4-FFF2-40B4-BE49-F238E27FC236}">
              <a16:creationId xmlns:a16="http://schemas.microsoft.com/office/drawing/2014/main" id="{522C1F35-54C7-475D-8A06-C2E147F18C54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593" name="Shape 6">
          <a:extLst>
            <a:ext uri="{FF2B5EF4-FFF2-40B4-BE49-F238E27FC236}">
              <a16:creationId xmlns:a16="http://schemas.microsoft.com/office/drawing/2014/main" id="{5B9033A3-5C44-44D0-B2F5-758626253B57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594" name="Shape 6">
          <a:extLst>
            <a:ext uri="{FF2B5EF4-FFF2-40B4-BE49-F238E27FC236}">
              <a16:creationId xmlns:a16="http://schemas.microsoft.com/office/drawing/2014/main" id="{BE5B7278-283F-4D5A-96B6-CBAE0BE071BC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595" name="Shape 6">
          <a:extLst>
            <a:ext uri="{FF2B5EF4-FFF2-40B4-BE49-F238E27FC236}">
              <a16:creationId xmlns:a16="http://schemas.microsoft.com/office/drawing/2014/main" id="{6192FB2F-CEA3-499D-A934-EFE17B6D2219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596" name="Shape 6">
          <a:extLst>
            <a:ext uri="{FF2B5EF4-FFF2-40B4-BE49-F238E27FC236}">
              <a16:creationId xmlns:a16="http://schemas.microsoft.com/office/drawing/2014/main" id="{2AE22D46-7C20-4F82-B37B-1D1616B9D532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597" name="Shape 6">
          <a:extLst>
            <a:ext uri="{FF2B5EF4-FFF2-40B4-BE49-F238E27FC236}">
              <a16:creationId xmlns:a16="http://schemas.microsoft.com/office/drawing/2014/main" id="{D4C76428-4C84-470E-B855-0D0DFCE0B1BD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598" name="Shape 6">
          <a:extLst>
            <a:ext uri="{FF2B5EF4-FFF2-40B4-BE49-F238E27FC236}">
              <a16:creationId xmlns:a16="http://schemas.microsoft.com/office/drawing/2014/main" id="{26859E39-6AF1-4ED1-8CD8-0962DA38769E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599" name="Shape 6">
          <a:extLst>
            <a:ext uri="{FF2B5EF4-FFF2-40B4-BE49-F238E27FC236}">
              <a16:creationId xmlns:a16="http://schemas.microsoft.com/office/drawing/2014/main" id="{1B2F3227-A7AE-4A42-B0E8-CBD687959045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00" name="Shape 5">
          <a:extLst>
            <a:ext uri="{FF2B5EF4-FFF2-40B4-BE49-F238E27FC236}">
              <a16:creationId xmlns:a16="http://schemas.microsoft.com/office/drawing/2014/main" id="{154EEAAB-70E3-4B12-845E-0F7EA18FEAF2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01" name="Shape 5">
          <a:extLst>
            <a:ext uri="{FF2B5EF4-FFF2-40B4-BE49-F238E27FC236}">
              <a16:creationId xmlns:a16="http://schemas.microsoft.com/office/drawing/2014/main" id="{F6095D33-44F4-45E9-A7B3-653117FDB8BB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02" name="Shape 5">
          <a:extLst>
            <a:ext uri="{FF2B5EF4-FFF2-40B4-BE49-F238E27FC236}">
              <a16:creationId xmlns:a16="http://schemas.microsoft.com/office/drawing/2014/main" id="{F26B4B1B-CBDF-41BD-AB7B-2126371A0ED3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03" name="Shape 5">
          <a:extLst>
            <a:ext uri="{FF2B5EF4-FFF2-40B4-BE49-F238E27FC236}">
              <a16:creationId xmlns:a16="http://schemas.microsoft.com/office/drawing/2014/main" id="{F26087B3-3E71-47C7-AF84-232FD82C21B5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04" name="Shape 5">
          <a:extLst>
            <a:ext uri="{FF2B5EF4-FFF2-40B4-BE49-F238E27FC236}">
              <a16:creationId xmlns:a16="http://schemas.microsoft.com/office/drawing/2014/main" id="{23DC4385-4FB9-472F-8A3C-B1A381C2B3B1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05" name="Shape 5">
          <a:extLst>
            <a:ext uri="{FF2B5EF4-FFF2-40B4-BE49-F238E27FC236}">
              <a16:creationId xmlns:a16="http://schemas.microsoft.com/office/drawing/2014/main" id="{B37D32DD-4DCF-4FC3-9B55-FF23A60125F4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06" name="Shape 5">
          <a:extLst>
            <a:ext uri="{FF2B5EF4-FFF2-40B4-BE49-F238E27FC236}">
              <a16:creationId xmlns:a16="http://schemas.microsoft.com/office/drawing/2014/main" id="{B208E240-8BD8-49E0-BABE-4DCD6A703191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07" name="Shape 5">
          <a:extLst>
            <a:ext uri="{FF2B5EF4-FFF2-40B4-BE49-F238E27FC236}">
              <a16:creationId xmlns:a16="http://schemas.microsoft.com/office/drawing/2014/main" id="{D3B6E66E-AA24-477E-941C-2EDEAB88C148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608" name="Shape 6">
          <a:extLst>
            <a:ext uri="{FF2B5EF4-FFF2-40B4-BE49-F238E27FC236}">
              <a16:creationId xmlns:a16="http://schemas.microsoft.com/office/drawing/2014/main" id="{AC32F872-C899-44FD-BA2F-8C4EBCCF90CD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609" name="Shape 6">
          <a:extLst>
            <a:ext uri="{FF2B5EF4-FFF2-40B4-BE49-F238E27FC236}">
              <a16:creationId xmlns:a16="http://schemas.microsoft.com/office/drawing/2014/main" id="{5904F2E2-52B6-4D48-9F05-D66A47428CB2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610" name="Shape 6">
          <a:extLst>
            <a:ext uri="{FF2B5EF4-FFF2-40B4-BE49-F238E27FC236}">
              <a16:creationId xmlns:a16="http://schemas.microsoft.com/office/drawing/2014/main" id="{806E0C21-4CE3-40E8-80B5-6464D2DD05AC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611" name="Shape 6">
          <a:extLst>
            <a:ext uri="{FF2B5EF4-FFF2-40B4-BE49-F238E27FC236}">
              <a16:creationId xmlns:a16="http://schemas.microsoft.com/office/drawing/2014/main" id="{53558D70-0A24-49AF-93FB-A0B8CB7F07A6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612" name="Shape 6">
          <a:extLst>
            <a:ext uri="{FF2B5EF4-FFF2-40B4-BE49-F238E27FC236}">
              <a16:creationId xmlns:a16="http://schemas.microsoft.com/office/drawing/2014/main" id="{4F27C2E6-78CC-4693-BB88-936F9DDA7168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13" name="Shape 7">
          <a:extLst>
            <a:ext uri="{FF2B5EF4-FFF2-40B4-BE49-F238E27FC236}">
              <a16:creationId xmlns:a16="http://schemas.microsoft.com/office/drawing/2014/main" id="{6A533F28-AE26-470D-8C06-F111C93D9FFF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614" name="Shape 6">
          <a:extLst>
            <a:ext uri="{FF2B5EF4-FFF2-40B4-BE49-F238E27FC236}">
              <a16:creationId xmlns:a16="http://schemas.microsoft.com/office/drawing/2014/main" id="{BC588A83-22EE-49A2-A1AC-3310E6064CBB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15" name="Shape 7">
          <a:extLst>
            <a:ext uri="{FF2B5EF4-FFF2-40B4-BE49-F238E27FC236}">
              <a16:creationId xmlns:a16="http://schemas.microsoft.com/office/drawing/2014/main" id="{904DCD6F-F859-4DA9-86EE-7310A9DB95B9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616" name="Shape 6">
          <a:extLst>
            <a:ext uri="{FF2B5EF4-FFF2-40B4-BE49-F238E27FC236}">
              <a16:creationId xmlns:a16="http://schemas.microsoft.com/office/drawing/2014/main" id="{93661D1E-D722-472C-A512-9F0A2BC7F345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17" name="Shape 6">
          <a:extLst>
            <a:ext uri="{FF2B5EF4-FFF2-40B4-BE49-F238E27FC236}">
              <a16:creationId xmlns:a16="http://schemas.microsoft.com/office/drawing/2014/main" id="{75A223F8-ADCF-473B-8401-DF98924F2A7A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18" name="Shape 6">
          <a:extLst>
            <a:ext uri="{FF2B5EF4-FFF2-40B4-BE49-F238E27FC236}">
              <a16:creationId xmlns:a16="http://schemas.microsoft.com/office/drawing/2014/main" id="{1DA0F1A7-50B7-4B99-A586-9B8F03FE2E42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19" name="Shape 6">
          <a:extLst>
            <a:ext uri="{FF2B5EF4-FFF2-40B4-BE49-F238E27FC236}">
              <a16:creationId xmlns:a16="http://schemas.microsoft.com/office/drawing/2014/main" id="{399D44AD-90D8-41A2-904B-242C244F9E70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20" name="Shape 6">
          <a:extLst>
            <a:ext uri="{FF2B5EF4-FFF2-40B4-BE49-F238E27FC236}">
              <a16:creationId xmlns:a16="http://schemas.microsoft.com/office/drawing/2014/main" id="{73063F56-69CC-474B-9849-1D01B6071D5E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21" name="Shape 6">
          <a:extLst>
            <a:ext uri="{FF2B5EF4-FFF2-40B4-BE49-F238E27FC236}">
              <a16:creationId xmlns:a16="http://schemas.microsoft.com/office/drawing/2014/main" id="{8802261B-C76A-4264-8ED5-44268CD76C03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22" name="Shape 5">
          <a:extLst>
            <a:ext uri="{FF2B5EF4-FFF2-40B4-BE49-F238E27FC236}">
              <a16:creationId xmlns:a16="http://schemas.microsoft.com/office/drawing/2014/main" id="{E66D8270-26BD-4854-AD69-DA33BDD8EF8A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23" name="Shape 5">
          <a:extLst>
            <a:ext uri="{FF2B5EF4-FFF2-40B4-BE49-F238E27FC236}">
              <a16:creationId xmlns:a16="http://schemas.microsoft.com/office/drawing/2014/main" id="{791301B6-6076-4AF9-9A6C-1FB2675BA69D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24" name="Shape 5">
          <a:extLst>
            <a:ext uri="{FF2B5EF4-FFF2-40B4-BE49-F238E27FC236}">
              <a16:creationId xmlns:a16="http://schemas.microsoft.com/office/drawing/2014/main" id="{D118120C-42ED-4B3E-A0B4-C124A0102FE0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25" name="Shape 5">
          <a:extLst>
            <a:ext uri="{FF2B5EF4-FFF2-40B4-BE49-F238E27FC236}">
              <a16:creationId xmlns:a16="http://schemas.microsoft.com/office/drawing/2014/main" id="{6C88E916-6AD6-4BD4-8E97-DE4FEAD24AF3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26" name="Shape 5">
          <a:extLst>
            <a:ext uri="{FF2B5EF4-FFF2-40B4-BE49-F238E27FC236}">
              <a16:creationId xmlns:a16="http://schemas.microsoft.com/office/drawing/2014/main" id="{7C0AEB44-6885-47F0-9F15-196C3E24D46C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27" name="Shape 4">
          <a:extLst>
            <a:ext uri="{FF2B5EF4-FFF2-40B4-BE49-F238E27FC236}">
              <a16:creationId xmlns:a16="http://schemas.microsoft.com/office/drawing/2014/main" id="{850F1748-E403-4984-B875-F7719D1D7579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28" name="Shape 5">
          <a:extLst>
            <a:ext uri="{FF2B5EF4-FFF2-40B4-BE49-F238E27FC236}">
              <a16:creationId xmlns:a16="http://schemas.microsoft.com/office/drawing/2014/main" id="{F0877E55-EA1C-41C1-918A-F0678E41E087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29" name="Shape 4">
          <a:extLst>
            <a:ext uri="{FF2B5EF4-FFF2-40B4-BE49-F238E27FC236}">
              <a16:creationId xmlns:a16="http://schemas.microsoft.com/office/drawing/2014/main" id="{76E4C537-C2B9-45AF-81F6-7AE5FCD16CDB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0" name="Shape 5">
          <a:extLst>
            <a:ext uri="{FF2B5EF4-FFF2-40B4-BE49-F238E27FC236}">
              <a16:creationId xmlns:a16="http://schemas.microsoft.com/office/drawing/2014/main" id="{070C4A68-346D-42D4-B40A-477319C81775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1" name="Shape 5">
          <a:extLst>
            <a:ext uri="{FF2B5EF4-FFF2-40B4-BE49-F238E27FC236}">
              <a16:creationId xmlns:a16="http://schemas.microsoft.com/office/drawing/2014/main" id="{A85DAA99-F729-42A2-9E63-32F14B41A246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2" name="Shape 5">
          <a:extLst>
            <a:ext uri="{FF2B5EF4-FFF2-40B4-BE49-F238E27FC236}">
              <a16:creationId xmlns:a16="http://schemas.microsoft.com/office/drawing/2014/main" id="{EAD95524-4CCA-453D-9EBD-D285EDCBA666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3" name="Shape 5">
          <a:extLst>
            <a:ext uri="{FF2B5EF4-FFF2-40B4-BE49-F238E27FC236}">
              <a16:creationId xmlns:a16="http://schemas.microsoft.com/office/drawing/2014/main" id="{35063AE8-D071-4BD0-B395-4EC5DD3EB4F8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4" name="Shape 5">
          <a:extLst>
            <a:ext uri="{FF2B5EF4-FFF2-40B4-BE49-F238E27FC236}">
              <a16:creationId xmlns:a16="http://schemas.microsoft.com/office/drawing/2014/main" id="{F0A381C8-8509-4A1B-9FFC-2CD1B828EB66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5" name="Shape 5">
          <a:extLst>
            <a:ext uri="{FF2B5EF4-FFF2-40B4-BE49-F238E27FC236}">
              <a16:creationId xmlns:a16="http://schemas.microsoft.com/office/drawing/2014/main" id="{24A0FC23-511F-4244-9335-53C00357CDF5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6" name="Shape 5">
          <a:extLst>
            <a:ext uri="{FF2B5EF4-FFF2-40B4-BE49-F238E27FC236}">
              <a16:creationId xmlns:a16="http://schemas.microsoft.com/office/drawing/2014/main" id="{504460D0-D4FF-4B1A-A1A2-B0D6DC10EF2E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7" name="Shape 5">
          <a:extLst>
            <a:ext uri="{FF2B5EF4-FFF2-40B4-BE49-F238E27FC236}">
              <a16:creationId xmlns:a16="http://schemas.microsoft.com/office/drawing/2014/main" id="{EF8E1D22-C25B-430B-AD01-E129A99AD982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8" name="Shape 5">
          <a:extLst>
            <a:ext uri="{FF2B5EF4-FFF2-40B4-BE49-F238E27FC236}">
              <a16:creationId xmlns:a16="http://schemas.microsoft.com/office/drawing/2014/main" id="{1C8DE2B9-1F45-4C8C-AA3F-73139263CB8E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39" name="Shape 5">
          <a:extLst>
            <a:ext uri="{FF2B5EF4-FFF2-40B4-BE49-F238E27FC236}">
              <a16:creationId xmlns:a16="http://schemas.microsoft.com/office/drawing/2014/main" id="{AF20F7EE-8F76-4ADD-A731-BA2AA75BFE31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640" name="Shape 5">
          <a:extLst>
            <a:ext uri="{FF2B5EF4-FFF2-40B4-BE49-F238E27FC236}">
              <a16:creationId xmlns:a16="http://schemas.microsoft.com/office/drawing/2014/main" id="{551E0E70-9B5B-4C85-8559-3F3F6661DD0A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41" name="Shape 4">
          <a:extLst>
            <a:ext uri="{FF2B5EF4-FFF2-40B4-BE49-F238E27FC236}">
              <a16:creationId xmlns:a16="http://schemas.microsoft.com/office/drawing/2014/main" id="{798F6E33-7F27-4D87-9083-B911E175BC45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42" name="Shape 4">
          <a:extLst>
            <a:ext uri="{FF2B5EF4-FFF2-40B4-BE49-F238E27FC236}">
              <a16:creationId xmlns:a16="http://schemas.microsoft.com/office/drawing/2014/main" id="{75E988E1-5EF7-4ACE-B696-D62CD03C9BC2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43" name="Shape 7">
          <a:extLst>
            <a:ext uri="{FF2B5EF4-FFF2-40B4-BE49-F238E27FC236}">
              <a16:creationId xmlns:a16="http://schemas.microsoft.com/office/drawing/2014/main" id="{F05A7024-86C7-4C18-871E-29D9EE748F67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44" name="Shape 7">
          <a:extLst>
            <a:ext uri="{FF2B5EF4-FFF2-40B4-BE49-F238E27FC236}">
              <a16:creationId xmlns:a16="http://schemas.microsoft.com/office/drawing/2014/main" id="{2E31D772-0C4F-49CA-84A8-A39D5932F5D0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45" name="Shape 4">
          <a:extLst>
            <a:ext uri="{FF2B5EF4-FFF2-40B4-BE49-F238E27FC236}">
              <a16:creationId xmlns:a16="http://schemas.microsoft.com/office/drawing/2014/main" id="{580D9C48-743A-4C08-80A5-C983F9B3DAF9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46" name="Shape 4">
          <a:extLst>
            <a:ext uri="{FF2B5EF4-FFF2-40B4-BE49-F238E27FC236}">
              <a16:creationId xmlns:a16="http://schemas.microsoft.com/office/drawing/2014/main" id="{8294B3F1-02A1-4E10-8A9A-BC50221F2F43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47" name="Shape 4">
          <a:extLst>
            <a:ext uri="{FF2B5EF4-FFF2-40B4-BE49-F238E27FC236}">
              <a16:creationId xmlns:a16="http://schemas.microsoft.com/office/drawing/2014/main" id="{9F903419-A5DC-403B-89CC-9430F8758CD5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48" name="Shape 4">
          <a:extLst>
            <a:ext uri="{FF2B5EF4-FFF2-40B4-BE49-F238E27FC236}">
              <a16:creationId xmlns:a16="http://schemas.microsoft.com/office/drawing/2014/main" id="{FB636660-B211-46C9-9C1C-367C5526E539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49" name="Shape 7">
          <a:extLst>
            <a:ext uri="{FF2B5EF4-FFF2-40B4-BE49-F238E27FC236}">
              <a16:creationId xmlns:a16="http://schemas.microsoft.com/office/drawing/2014/main" id="{6E6D963A-25ED-411C-BF4D-18870187041A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50" name="Shape 7">
          <a:extLst>
            <a:ext uri="{FF2B5EF4-FFF2-40B4-BE49-F238E27FC236}">
              <a16:creationId xmlns:a16="http://schemas.microsoft.com/office/drawing/2014/main" id="{8879594C-56C6-43A8-BECC-14A91BBC46EF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51" name="Shape 4">
          <a:extLst>
            <a:ext uri="{FF2B5EF4-FFF2-40B4-BE49-F238E27FC236}">
              <a16:creationId xmlns:a16="http://schemas.microsoft.com/office/drawing/2014/main" id="{E3D81FC0-CC42-438C-AA1B-1EF637D3D17C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105</xdr:row>
      <xdr:rowOff>0</xdr:rowOff>
    </xdr:from>
    <xdr:ext cx="38100" cy="9525"/>
    <xdr:sp macro="" textlink="">
      <xdr:nvSpPr>
        <xdr:cNvPr id="1652" name="Shape 4">
          <a:extLst>
            <a:ext uri="{FF2B5EF4-FFF2-40B4-BE49-F238E27FC236}">
              <a16:creationId xmlns:a16="http://schemas.microsoft.com/office/drawing/2014/main" id="{E736ABA3-0A1D-4796-BA74-20B0F952F1F5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53" name="Shape 5">
          <a:extLst>
            <a:ext uri="{FF2B5EF4-FFF2-40B4-BE49-F238E27FC236}">
              <a16:creationId xmlns:a16="http://schemas.microsoft.com/office/drawing/2014/main" id="{B386FAF8-980E-47D3-A7A4-F55822F2BCA1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54" name="Shape 5">
          <a:extLst>
            <a:ext uri="{FF2B5EF4-FFF2-40B4-BE49-F238E27FC236}">
              <a16:creationId xmlns:a16="http://schemas.microsoft.com/office/drawing/2014/main" id="{823A71D8-47BB-4C90-B404-28FD3D7ACA85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55" name="Shape 5">
          <a:extLst>
            <a:ext uri="{FF2B5EF4-FFF2-40B4-BE49-F238E27FC236}">
              <a16:creationId xmlns:a16="http://schemas.microsoft.com/office/drawing/2014/main" id="{F80E62CE-3CC7-4935-BD47-558B3A192156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56" name="Shape 5">
          <a:extLst>
            <a:ext uri="{FF2B5EF4-FFF2-40B4-BE49-F238E27FC236}">
              <a16:creationId xmlns:a16="http://schemas.microsoft.com/office/drawing/2014/main" id="{0D8E4A6E-7484-4723-A174-D4172864227C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57" name="Shape 5">
          <a:extLst>
            <a:ext uri="{FF2B5EF4-FFF2-40B4-BE49-F238E27FC236}">
              <a16:creationId xmlns:a16="http://schemas.microsoft.com/office/drawing/2014/main" id="{18799948-F1F6-4212-8F77-4C321E7CF023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658" name="Shape 4">
          <a:extLst>
            <a:ext uri="{FF2B5EF4-FFF2-40B4-BE49-F238E27FC236}">
              <a16:creationId xmlns:a16="http://schemas.microsoft.com/office/drawing/2014/main" id="{A4EDA032-41AC-4C9C-93D4-99638223ECA0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59" name="Shape 5">
          <a:extLst>
            <a:ext uri="{FF2B5EF4-FFF2-40B4-BE49-F238E27FC236}">
              <a16:creationId xmlns:a16="http://schemas.microsoft.com/office/drawing/2014/main" id="{6529B062-7BE5-4F6C-95C7-E6028451A2CC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660" name="Shape 4">
          <a:extLst>
            <a:ext uri="{FF2B5EF4-FFF2-40B4-BE49-F238E27FC236}">
              <a16:creationId xmlns:a16="http://schemas.microsoft.com/office/drawing/2014/main" id="{605DFC4A-ADA9-4FE0-86A4-D1DD7062334C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61" name="Shape 6">
          <a:extLst>
            <a:ext uri="{FF2B5EF4-FFF2-40B4-BE49-F238E27FC236}">
              <a16:creationId xmlns:a16="http://schemas.microsoft.com/office/drawing/2014/main" id="{DFB3EC49-2DBF-465F-9998-0A2C0F371874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62" name="Shape 6">
          <a:extLst>
            <a:ext uri="{FF2B5EF4-FFF2-40B4-BE49-F238E27FC236}">
              <a16:creationId xmlns:a16="http://schemas.microsoft.com/office/drawing/2014/main" id="{72B6865E-459C-4840-8421-CFAD0A86B13A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63" name="Shape 6">
          <a:extLst>
            <a:ext uri="{FF2B5EF4-FFF2-40B4-BE49-F238E27FC236}">
              <a16:creationId xmlns:a16="http://schemas.microsoft.com/office/drawing/2014/main" id="{F3B3B1A4-F2FF-4BC7-A0CA-41863B395B39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64" name="Shape 6">
          <a:extLst>
            <a:ext uri="{FF2B5EF4-FFF2-40B4-BE49-F238E27FC236}">
              <a16:creationId xmlns:a16="http://schemas.microsoft.com/office/drawing/2014/main" id="{1CDCC69B-5A0C-4A56-8EE4-F887BB90A6DA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65" name="Shape 6">
          <a:extLst>
            <a:ext uri="{FF2B5EF4-FFF2-40B4-BE49-F238E27FC236}">
              <a16:creationId xmlns:a16="http://schemas.microsoft.com/office/drawing/2014/main" id="{19CFD873-6EAE-47FB-8D74-73D2B1B4D47E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66" name="Shape 6">
          <a:extLst>
            <a:ext uri="{FF2B5EF4-FFF2-40B4-BE49-F238E27FC236}">
              <a16:creationId xmlns:a16="http://schemas.microsoft.com/office/drawing/2014/main" id="{863DBFBC-D740-41D5-8353-63D703A3FBDD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67" name="Shape 6">
          <a:extLst>
            <a:ext uri="{FF2B5EF4-FFF2-40B4-BE49-F238E27FC236}">
              <a16:creationId xmlns:a16="http://schemas.microsoft.com/office/drawing/2014/main" id="{B58B735D-DCDC-42BC-B0C3-8F38A9655FC5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68" name="Shape 6">
          <a:extLst>
            <a:ext uri="{FF2B5EF4-FFF2-40B4-BE49-F238E27FC236}">
              <a16:creationId xmlns:a16="http://schemas.microsoft.com/office/drawing/2014/main" id="{F701A51C-3041-4870-88A6-C684BA0E1261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69" name="Shape 6">
          <a:extLst>
            <a:ext uri="{FF2B5EF4-FFF2-40B4-BE49-F238E27FC236}">
              <a16:creationId xmlns:a16="http://schemas.microsoft.com/office/drawing/2014/main" id="{325438B0-6B24-429F-AC6C-3A4160AD10C3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70" name="Shape 5">
          <a:extLst>
            <a:ext uri="{FF2B5EF4-FFF2-40B4-BE49-F238E27FC236}">
              <a16:creationId xmlns:a16="http://schemas.microsoft.com/office/drawing/2014/main" id="{F55EBED6-A989-4B3D-9E0E-DC27AACDE793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71" name="Shape 5">
          <a:extLst>
            <a:ext uri="{FF2B5EF4-FFF2-40B4-BE49-F238E27FC236}">
              <a16:creationId xmlns:a16="http://schemas.microsoft.com/office/drawing/2014/main" id="{1D37C1CF-CDB3-4EB7-B409-A7354000FC17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72" name="Shape 5">
          <a:extLst>
            <a:ext uri="{FF2B5EF4-FFF2-40B4-BE49-F238E27FC236}">
              <a16:creationId xmlns:a16="http://schemas.microsoft.com/office/drawing/2014/main" id="{CAA835F5-3E1E-4FD1-BE82-A15BA312B027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73" name="Shape 5">
          <a:extLst>
            <a:ext uri="{FF2B5EF4-FFF2-40B4-BE49-F238E27FC236}">
              <a16:creationId xmlns:a16="http://schemas.microsoft.com/office/drawing/2014/main" id="{00FBD33B-CD9B-41D6-9F8D-5458BCBC6B2A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74" name="Shape 5">
          <a:extLst>
            <a:ext uri="{FF2B5EF4-FFF2-40B4-BE49-F238E27FC236}">
              <a16:creationId xmlns:a16="http://schemas.microsoft.com/office/drawing/2014/main" id="{5BF59651-AB41-495F-B1C0-2548A37E8E53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75" name="Shape 5">
          <a:extLst>
            <a:ext uri="{FF2B5EF4-FFF2-40B4-BE49-F238E27FC236}">
              <a16:creationId xmlns:a16="http://schemas.microsoft.com/office/drawing/2014/main" id="{ED639D9D-C6C0-4F8A-874C-60697777C0B3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76" name="Shape 5">
          <a:extLst>
            <a:ext uri="{FF2B5EF4-FFF2-40B4-BE49-F238E27FC236}">
              <a16:creationId xmlns:a16="http://schemas.microsoft.com/office/drawing/2014/main" id="{08F5FE12-44FB-442A-B8A9-B6E0C8253D0E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77" name="Shape 5">
          <a:extLst>
            <a:ext uri="{FF2B5EF4-FFF2-40B4-BE49-F238E27FC236}">
              <a16:creationId xmlns:a16="http://schemas.microsoft.com/office/drawing/2014/main" id="{AC763EA2-F897-4838-A0DF-591657A8D866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78" name="Shape 6">
          <a:extLst>
            <a:ext uri="{FF2B5EF4-FFF2-40B4-BE49-F238E27FC236}">
              <a16:creationId xmlns:a16="http://schemas.microsoft.com/office/drawing/2014/main" id="{EBF01E32-FDE2-4EE9-97BA-23B37AC9522A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79" name="Shape 6">
          <a:extLst>
            <a:ext uri="{FF2B5EF4-FFF2-40B4-BE49-F238E27FC236}">
              <a16:creationId xmlns:a16="http://schemas.microsoft.com/office/drawing/2014/main" id="{4137F1A2-2182-4685-9FFB-45A4BABCC32B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80" name="Shape 6">
          <a:extLst>
            <a:ext uri="{FF2B5EF4-FFF2-40B4-BE49-F238E27FC236}">
              <a16:creationId xmlns:a16="http://schemas.microsoft.com/office/drawing/2014/main" id="{848D0D34-5CBC-4FA4-A4C8-8738FB7A7AF3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81" name="Shape 6">
          <a:extLst>
            <a:ext uri="{FF2B5EF4-FFF2-40B4-BE49-F238E27FC236}">
              <a16:creationId xmlns:a16="http://schemas.microsoft.com/office/drawing/2014/main" id="{19B96BED-242F-439A-AF7D-B0A20B481BDC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82" name="Shape 6">
          <a:extLst>
            <a:ext uri="{FF2B5EF4-FFF2-40B4-BE49-F238E27FC236}">
              <a16:creationId xmlns:a16="http://schemas.microsoft.com/office/drawing/2014/main" id="{8D923497-A818-4F26-B91D-661ED7F9D1CC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683" name="Shape 7">
          <a:extLst>
            <a:ext uri="{FF2B5EF4-FFF2-40B4-BE49-F238E27FC236}">
              <a16:creationId xmlns:a16="http://schemas.microsoft.com/office/drawing/2014/main" id="{48CB8BC3-0310-4A1D-A322-0A5686B88E81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84" name="Shape 6">
          <a:extLst>
            <a:ext uri="{FF2B5EF4-FFF2-40B4-BE49-F238E27FC236}">
              <a16:creationId xmlns:a16="http://schemas.microsoft.com/office/drawing/2014/main" id="{76CBB006-91D8-4938-B14B-C495BB7723BE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685" name="Shape 7">
          <a:extLst>
            <a:ext uri="{FF2B5EF4-FFF2-40B4-BE49-F238E27FC236}">
              <a16:creationId xmlns:a16="http://schemas.microsoft.com/office/drawing/2014/main" id="{BD1B7314-E6DF-4219-B214-034759A77581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686" name="Shape 6">
          <a:extLst>
            <a:ext uri="{FF2B5EF4-FFF2-40B4-BE49-F238E27FC236}">
              <a16:creationId xmlns:a16="http://schemas.microsoft.com/office/drawing/2014/main" id="{88966628-E6EB-495E-B347-1E4ACEE04D35}"/>
            </a:ext>
          </a:extLst>
        </xdr:cNvPr>
        <xdr:cNvSpPr/>
      </xdr:nvSpPr>
      <xdr:spPr>
        <a:xfrm>
          <a:off x="1466850" y="2657475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87" name="Shape 6">
          <a:extLst>
            <a:ext uri="{FF2B5EF4-FFF2-40B4-BE49-F238E27FC236}">
              <a16:creationId xmlns:a16="http://schemas.microsoft.com/office/drawing/2014/main" id="{D324FA32-47CD-487C-8E56-3451B792F95E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88" name="Shape 6">
          <a:extLst>
            <a:ext uri="{FF2B5EF4-FFF2-40B4-BE49-F238E27FC236}">
              <a16:creationId xmlns:a16="http://schemas.microsoft.com/office/drawing/2014/main" id="{769DB523-337A-4E26-93E0-272F75B5F84B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89" name="Shape 6">
          <a:extLst>
            <a:ext uri="{FF2B5EF4-FFF2-40B4-BE49-F238E27FC236}">
              <a16:creationId xmlns:a16="http://schemas.microsoft.com/office/drawing/2014/main" id="{EAB98F74-72B8-46E7-B50C-57892FDA15B3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90" name="Shape 6">
          <a:extLst>
            <a:ext uri="{FF2B5EF4-FFF2-40B4-BE49-F238E27FC236}">
              <a16:creationId xmlns:a16="http://schemas.microsoft.com/office/drawing/2014/main" id="{34509E78-E4FE-4B56-BA9F-7B07A7CA5330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91" name="Shape 6">
          <a:extLst>
            <a:ext uri="{FF2B5EF4-FFF2-40B4-BE49-F238E27FC236}">
              <a16:creationId xmlns:a16="http://schemas.microsoft.com/office/drawing/2014/main" id="{51CAC72F-517A-462D-94C5-A2638217BD59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92" name="Shape 5">
          <a:extLst>
            <a:ext uri="{FF2B5EF4-FFF2-40B4-BE49-F238E27FC236}">
              <a16:creationId xmlns:a16="http://schemas.microsoft.com/office/drawing/2014/main" id="{ADB45888-F8A4-42E2-9584-41F677FA8892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93" name="Shape 5">
          <a:extLst>
            <a:ext uri="{FF2B5EF4-FFF2-40B4-BE49-F238E27FC236}">
              <a16:creationId xmlns:a16="http://schemas.microsoft.com/office/drawing/2014/main" id="{2937A056-A0DF-4039-B63B-D3E433999F37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94" name="Shape 5">
          <a:extLst>
            <a:ext uri="{FF2B5EF4-FFF2-40B4-BE49-F238E27FC236}">
              <a16:creationId xmlns:a16="http://schemas.microsoft.com/office/drawing/2014/main" id="{1320C5AF-DF3E-461E-908A-BFBDC61D2A55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95" name="Shape 5">
          <a:extLst>
            <a:ext uri="{FF2B5EF4-FFF2-40B4-BE49-F238E27FC236}">
              <a16:creationId xmlns:a16="http://schemas.microsoft.com/office/drawing/2014/main" id="{0EAC1BA6-A0D3-41B4-98F2-55529B350AFF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96" name="Shape 5">
          <a:extLst>
            <a:ext uri="{FF2B5EF4-FFF2-40B4-BE49-F238E27FC236}">
              <a16:creationId xmlns:a16="http://schemas.microsoft.com/office/drawing/2014/main" id="{EDA0F0BA-C2C8-44BC-9694-E484180B976D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697" name="Shape 4">
          <a:extLst>
            <a:ext uri="{FF2B5EF4-FFF2-40B4-BE49-F238E27FC236}">
              <a16:creationId xmlns:a16="http://schemas.microsoft.com/office/drawing/2014/main" id="{EBE0F1D7-A460-47B0-AC07-E73658FBB409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698" name="Shape 5">
          <a:extLst>
            <a:ext uri="{FF2B5EF4-FFF2-40B4-BE49-F238E27FC236}">
              <a16:creationId xmlns:a16="http://schemas.microsoft.com/office/drawing/2014/main" id="{2281340F-7F1C-4EA8-8288-1BAE189DEF59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699" name="Shape 4">
          <a:extLst>
            <a:ext uri="{FF2B5EF4-FFF2-40B4-BE49-F238E27FC236}">
              <a16:creationId xmlns:a16="http://schemas.microsoft.com/office/drawing/2014/main" id="{C52014C1-71F5-4A75-9036-A9B20D469D54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0" name="Shape 5">
          <a:extLst>
            <a:ext uri="{FF2B5EF4-FFF2-40B4-BE49-F238E27FC236}">
              <a16:creationId xmlns:a16="http://schemas.microsoft.com/office/drawing/2014/main" id="{9703ECA1-873E-4AA7-99D6-C15BF3024FC6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1" name="Shape 5">
          <a:extLst>
            <a:ext uri="{FF2B5EF4-FFF2-40B4-BE49-F238E27FC236}">
              <a16:creationId xmlns:a16="http://schemas.microsoft.com/office/drawing/2014/main" id="{123DB49B-095A-4D98-A904-CDB6F10AF776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2" name="Shape 5">
          <a:extLst>
            <a:ext uri="{FF2B5EF4-FFF2-40B4-BE49-F238E27FC236}">
              <a16:creationId xmlns:a16="http://schemas.microsoft.com/office/drawing/2014/main" id="{57E6BE19-7F6A-44B4-8DA0-4E0767C954C6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3" name="Shape 5">
          <a:extLst>
            <a:ext uri="{FF2B5EF4-FFF2-40B4-BE49-F238E27FC236}">
              <a16:creationId xmlns:a16="http://schemas.microsoft.com/office/drawing/2014/main" id="{64D5E7AC-27FD-4437-A0C9-A8FD8A750B36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4" name="Shape 5">
          <a:extLst>
            <a:ext uri="{FF2B5EF4-FFF2-40B4-BE49-F238E27FC236}">
              <a16:creationId xmlns:a16="http://schemas.microsoft.com/office/drawing/2014/main" id="{6B6228A0-2013-412D-AA30-39F103FAE024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5" name="Shape 5">
          <a:extLst>
            <a:ext uri="{FF2B5EF4-FFF2-40B4-BE49-F238E27FC236}">
              <a16:creationId xmlns:a16="http://schemas.microsoft.com/office/drawing/2014/main" id="{6E18EE28-745F-4566-89E3-507ECC559543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6" name="Shape 5">
          <a:extLst>
            <a:ext uri="{FF2B5EF4-FFF2-40B4-BE49-F238E27FC236}">
              <a16:creationId xmlns:a16="http://schemas.microsoft.com/office/drawing/2014/main" id="{CB6E3111-5144-42F6-B01D-76524C6D3375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7" name="Shape 5">
          <a:extLst>
            <a:ext uri="{FF2B5EF4-FFF2-40B4-BE49-F238E27FC236}">
              <a16:creationId xmlns:a16="http://schemas.microsoft.com/office/drawing/2014/main" id="{A94C6783-58FC-4C03-8F6A-256676DAF3A4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8" name="Shape 5">
          <a:extLst>
            <a:ext uri="{FF2B5EF4-FFF2-40B4-BE49-F238E27FC236}">
              <a16:creationId xmlns:a16="http://schemas.microsoft.com/office/drawing/2014/main" id="{76E5712E-8CC1-4BA1-B412-A309378807EF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09" name="Shape 5">
          <a:extLst>
            <a:ext uri="{FF2B5EF4-FFF2-40B4-BE49-F238E27FC236}">
              <a16:creationId xmlns:a16="http://schemas.microsoft.com/office/drawing/2014/main" id="{F0705BBD-7DFC-46DE-96FF-A7815A9DA966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710" name="Shape 5">
          <a:extLst>
            <a:ext uri="{FF2B5EF4-FFF2-40B4-BE49-F238E27FC236}">
              <a16:creationId xmlns:a16="http://schemas.microsoft.com/office/drawing/2014/main" id="{1B6B330F-7CBD-4CC8-830A-1F6935209377}"/>
            </a:ext>
          </a:extLst>
        </xdr:cNvPr>
        <xdr:cNvSpPr/>
      </xdr:nvSpPr>
      <xdr:spPr>
        <a:xfrm>
          <a:off x="1466850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11" name="Shape 4">
          <a:extLst>
            <a:ext uri="{FF2B5EF4-FFF2-40B4-BE49-F238E27FC236}">
              <a16:creationId xmlns:a16="http://schemas.microsoft.com/office/drawing/2014/main" id="{19ED54D2-C908-4443-8BF8-281EBE31DE57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12" name="Shape 4">
          <a:extLst>
            <a:ext uri="{FF2B5EF4-FFF2-40B4-BE49-F238E27FC236}">
              <a16:creationId xmlns:a16="http://schemas.microsoft.com/office/drawing/2014/main" id="{D01400A6-500B-477F-A3F8-75ABE453B586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13" name="Shape 7">
          <a:extLst>
            <a:ext uri="{FF2B5EF4-FFF2-40B4-BE49-F238E27FC236}">
              <a16:creationId xmlns:a16="http://schemas.microsoft.com/office/drawing/2014/main" id="{854D518A-AE0F-4B9C-9315-1EEC84A6C80C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14" name="Shape 7">
          <a:extLst>
            <a:ext uri="{FF2B5EF4-FFF2-40B4-BE49-F238E27FC236}">
              <a16:creationId xmlns:a16="http://schemas.microsoft.com/office/drawing/2014/main" id="{5C970F2E-F38F-4F97-B38D-3013DCBE5E2B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15" name="Shape 4">
          <a:extLst>
            <a:ext uri="{FF2B5EF4-FFF2-40B4-BE49-F238E27FC236}">
              <a16:creationId xmlns:a16="http://schemas.microsoft.com/office/drawing/2014/main" id="{58021CC9-3F42-4475-9438-CCC6BC80E685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16" name="Shape 4">
          <a:extLst>
            <a:ext uri="{FF2B5EF4-FFF2-40B4-BE49-F238E27FC236}">
              <a16:creationId xmlns:a16="http://schemas.microsoft.com/office/drawing/2014/main" id="{E15B77FF-EB08-4B56-81A7-C42A2461C4FA}"/>
            </a:ext>
          </a:extLst>
        </xdr:cNvPr>
        <xdr:cNvSpPr/>
      </xdr:nvSpPr>
      <xdr:spPr>
        <a:xfrm>
          <a:off x="7577138" y="26777156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17" name="Shape 4">
          <a:extLst>
            <a:ext uri="{FF2B5EF4-FFF2-40B4-BE49-F238E27FC236}">
              <a16:creationId xmlns:a16="http://schemas.microsoft.com/office/drawing/2014/main" id="{FBDD1475-EA94-44EB-A326-82B2C5AD8918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18" name="Shape 4">
          <a:extLst>
            <a:ext uri="{FF2B5EF4-FFF2-40B4-BE49-F238E27FC236}">
              <a16:creationId xmlns:a16="http://schemas.microsoft.com/office/drawing/2014/main" id="{C8037FED-3E94-4427-9C57-12E1B4039E0F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19" name="Shape 7">
          <a:extLst>
            <a:ext uri="{FF2B5EF4-FFF2-40B4-BE49-F238E27FC236}">
              <a16:creationId xmlns:a16="http://schemas.microsoft.com/office/drawing/2014/main" id="{3941E9B0-1E37-4348-B452-594C89A2B9AF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20" name="Shape 7">
          <a:extLst>
            <a:ext uri="{FF2B5EF4-FFF2-40B4-BE49-F238E27FC236}">
              <a16:creationId xmlns:a16="http://schemas.microsoft.com/office/drawing/2014/main" id="{850A5AAA-F6A6-4402-87E4-B7D857FA8063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21" name="Shape 4">
          <a:extLst>
            <a:ext uri="{FF2B5EF4-FFF2-40B4-BE49-F238E27FC236}">
              <a16:creationId xmlns:a16="http://schemas.microsoft.com/office/drawing/2014/main" id="{5CF7EF3B-491D-47E2-B19A-84BFCEC551CE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121</xdr:row>
      <xdr:rowOff>0</xdr:rowOff>
    </xdr:from>
    <xdr:ext cx="38100" cy="9525"/>
    <xdr:sp macro="" textlink="">
      <xdr:nvSpPr>
        <xdr:cNvPr id="1722" name="Shape 4">
          <a:extLst>
            <a:ext uri="{FF2B5EF4-FFF2-40B4-BE49-F238E27FC236}">
              <a16:creationId xmlns:a16="http://schemas.microsoft.com/office/drawing/2014/main" id="{C8876CC1-8045-4300-9202-204F37C5ECA5}"/>
            </a:ext>
          </a:extLst>
        </xdr:cNvPr>
        <xdr:cNvSpPr/>
      </xdr:nvSpPr>
      <xdr:spPr>
        <a:xfrm>
          <a:off x="7577138" y="2657475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23" name="Shape 5">
          <a:extLst>
            <a:ext uri="{FF2B5EF4-FFF2-40B4-BE49-F238E27FC236}">
              <a16:creationId xmlns:a16="http://schemas.microsoft.com/office/drawing/2014/main" id="{5E917B21-359F-4F19-8D9A-5B8089057B47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24" name="Shape 5">
          <a:extLst>
            <a:ext uri="{FF2B5EF4-FFF2-40B4-BE49-F238E27FC236}">
              <a16:creationId xmlns:a16="http://schemas.microsoft.com/office/drawing/2014/main" id="{5C8712E3-7397-4846-A8C6-7276DF6A0319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25" name="Shape 5">
          <a:extLst>
            <a:ext uri="{FF2B5EF4-FFF2-40B4-BE49-F238E27FC236}">
              <a16:creationId xmlns:a16="http://schemas.microsoft.com/office/drawing/2014/main" id="{916895EE-A482-4766-851E-A8F3D768234C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26" name="Shape 5">
          <a:extLst>
            <a:ext uri="{FF2B5EF4-FFF2-40B4-BE49-F238E27FC236}">
              <a16:creationId xmlns:a16="http://schemas.microsoft.com/office/drawing/2014/main" id="{388835D1-F527-489B-84EE-F95D9D2A7599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27" name="Shape 5">
          <a:extLst>
            <a:ext uri="{FF2B5EF4-FFF2-40B4-BE49-F238E27FC236}">
              <a16:creationId xmlns:a16="http://schemas.microsoft.com/office/drawing/2014/main" id="{FB9F183E-CD11-4523-AB90-6EE86A68F123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28" name="Shape 4">
          <a:extLst>
            <a:ext uri="{FF2B5EF4-FFF2-40B4-BE49-F238E27FC236}">
              <a16:creationId xmlns:a16="http://schemas.microsoft.com/office/drawing/2014/main" id="{C1BB7BA9-BD19-4762-B481-7ECBCFA71626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29" name="Shape 5">
          <a:extLst>
            <a:ext uri="{FF2B5EF4-FFF2-40B4-BE49-F238E27FC236}">
              <a16:creationId xmlns:a16="http://schemas.microsoft.com/office/drawing/2014/main" id="{6BCA1082-F90A-482F-BFE4-378708D04CA8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30" name="Shape 4">
          <a:extLst>
            <a:ext uri="{FF2B5EF4-FFF2-40B4-BE49-F238E27FC236}">
              <a16:creationId xmlns:a16="http://schemas.microsoft.com/office/drawing/2014/main" id="{59DB6F18-3608-4C04-A21A-166887E3A820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31" name="Shape 6">
          <a:extLst>
            <a:ext uri="{FF2B5EF4-FFF2-40B4-BE49-F238E27FC236}">
              <a16:creationId xmlns:a16="http://schemas.microsoft.com/office/drawing/2014/main" id="{04A62C19-CDBB-42CD-B9F0-48E051BD0FF4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32" name="Shape 6">
          <a:extLst>
            <a:ext uri="{FF2B5EF4-FFF2-40B4-BE49-F238E27FC236}">
              <a16:creationId xmlns:a16="http://schemas.microsoft.com/office/drawing/2014/main" id="{1ECDCF3D-48D1-40D1-B558-AC148D77F021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33" name="Shape 6">
          <a:extLst>
            <a:ext uri="{FF2B5EF4-FFF2-40B4-BE49-F238E27FC236}">
              <a16:creationId xmlns:a16="http://schemas.microsoft.com/office/drawing/2014/main" id="{73A3B1C1-3E4F-4B61-8CD7-17955B486E4C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34" name="Shape 6">
          <a:extLst>
            <a:ext uri="{FF2B5EF4-FFF2-40B4-BE49-F238E27FC236}">
              <a16:creationId xmlns:a16="http://schemas.microsoft.com/office/drawing/2014/main" id="{4E0B35D7-CD4F-4A2B-A697-73BE7FE084F0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35" name="Shape 6">
          <a:extLst>
            <a:ext uri="{FF2B5EF4-FFF2-40B4-BE49-F238E27FC236}">
              <a16:creationId xmlns:a16="http://schemas.microsoft.com/office/drawing/2014/main" id="{940BAA97-6E99-491C-9498-55A8A7D50618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36" name="Shape 6">
          <a:extLst>
            <a:ext uri="{FF2B5EF4-FFF2-40B4-BE49-F238E27FC236}">
              <a16:creationId xmlns:a16="http://schemas.microsoft.com/office/drawing/2014/main" id="{2939B0F7-0D60-4DCF-B864-CBF6C8CA5630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37" name="Shape 6">
          <a:extLst>
            <a:ext uri="{FF2B5EF4-FFF2-40B4-BE49-F238E27FC236}">
              <a16:creationId xmlns:a16="http://schemas.microsoft.com/office/drawing/2014/main" id="{27BC6288-E3CC-4E23-B23E-8977AC42CF2F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38" name="Shape 6">
          <a:extLst>
            <a:ext uri="{FF2B5EF4-FFF2-40B4-BE49-F238E27FC236}">
              <a16:creationId xmlns:a16="http://schemas.microsoft.com/office/drawing/2014/main" id="{C129AF3C-1D02-4894-8EE8-4AC85021A877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39" name="Shape 6">
          <a:extLst>
            <a:ext uri="{FF2B5EF4-FFF2-40B4-BE49-F238E27FC236}">
              <a16:creationId xmlns:a16="http://schemas.microsoft.com/office/drawing/2014/main" id="{40EF2089-C025-4475-9884-AEB9C9C4EDCC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40" name="Shape 5">
          <a:extLst>
            <a:ext uri="{FF2B5EF4-FFF2-40B4-BE49-F238E27FC236}">
              <a16:creationId xmlns:a16="http://schemas.microsoft.com/office/drawing/2014/main" id="{DB6D5E81-DF13-4FF0-ADF8-64089EC8FD01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41" name="Shape 5">
          <a:extLst>
            <a:ext uri="{FF2B5EF4-FFF2-40B4-BE49-F238E27FC236}">
              <a16:creationId xmlns:a16="http://schemas.microsoft.com/office/drawing/2014/main" id="{4A5E1BC7-CD52-4078-A732-72E0103B80A3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42" name="Shape 5">
          <a:extLst>
            <a:ext uri="{FF2B5EF4-FFF2-40B4-BE49-F238E27FC236}">
              <a16:creationId xmlns:a16="http://schemas.microsoft.com/office/drawing/2014/main" id="{058264E3-EC04-4A62-9824-C7D3D9B50D4B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43" name="Shape 5">
          <a:extLst>
            <a:ext uri="{FF2B5EF4-FFF2-40B4-BE49-F238E27FC236}">
              <a16:creationId xmlns:a16="http://schemas.microsoft.com/office/drawing/2014/main" id="{67A4DEB8-94EE-4FDA-AA23-92A2ADAB54AB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44" name="Shape 5">
          <a:extLst>
            <a:ext uri="{FF2B5EF4-FFF2-40B4-BE49-F238E27FC236}">
              <a16:creationId xmlns:a16="http://schemas.microsoft.com/office/drawing/2014/main" id="{B2EF6A52-0FC1-4818-A182-F2ED68EC0BF2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45" name="Shape 5">
          <a:extLst>
            <a:ext uri="{FF2B5EF4-FFF2-40B4-BE49-F238E27FC236}">
              <a16:creationId xmlns:a16="http://schemas.microsoft.com/office/drawing/2014/main" id="{3F5BAB5D-1E41-460A-8B65-952AD3894E96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46" name="Shape 5">
          <a:extLst>
            <a:ext uri="{FF2B5EF4-FFF2-40B4-BE49-F238E27FC236}">
              <a16:creationId xmlns:a16="http://schemas.microsoft.com/office/drawing/2014/main" id="{AE17BABA-3C07-496F-AE8E-5AEEDE4497C6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47" name="Shape 5">
          <a:extLst>
            <a:ext uri="{FF2B5EF4-FFF2-40B4-BE49-F238E27FC236}">
              <a16:creationId xmlns:a16="http://schemas.microsoft.com/office/drawing/2014/main" id="{519190A8-E496-4598-8698-3B1FD728CE2E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48" name="Shape 6">
          <a:extLst>
            <a:ext uri="{FF2B5EF4-FFF2-40B4-BE49-F238E27FC236}">
              <a16:creationId xmlns:a16="http://schemas.microsoft.com/office/drawing/2014/main" id="{21CA8B61-63B4-4D87-AD0B-69F3B4FB4271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49" name="Shape 6">
          <a:extLst>
            <a:ext uri="{FF2B5EF4-FFF2-40B4-BE49-F238E27FC236}">
              <a16:creationId xmlns:a16="http://schemas.microsoft.com/office/drawing/2014/main" id="{0945C8FA-09A7-4A6C-A636-E10AE72AAEF5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50" name="Shape 6">
          <a:extLst>
            <a:ext uri="{FF2B5EF4-FFF2-40B4-BE49-F238E27FC236}">
              <a16:creationId xmlns:a16="http://schemas.microsoft.com/office/drawing/2014/main" id="{11E0DFEC-B663-423C-A7BF-0646D0B14B01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51" name="Shape 6">
          <a:extLst>
            <a:ext uri="{FF2B5EF4-FFF2-40B4-BE49-F238E27FC236}">
              <a16:creationId xmlns:a16="http://schemas.microsoft.com/office/drawing/2014/main" id="{53360ACE-CF53-4069-A431-156B6AF06C49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52" name="Shape 6">
          <a:extLst>
            <a:ext uri="{FF2B5EF4-FFF2-40B4-BE49-F238E27FC236}">
              <a16:creationId xmlns:a16="http://schemas.microsoft.com/office/drawing/2014/main" id="{F14A5C30-46C3-4D8E-94D1-0704104D6CE8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53" name="Shape 7">
          <a:extLst>
            <a:ext uri="{FF2B5EF4-FFF2-40B4-BE49-F238E27FC236}">
              <a16:creationId xmlns:a16="http://schemas.microsoft.com/office/drawing/2014/main" id="{25F9E9AF-7FC9-4681-88A3-E40EDFC8E487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54" name="Shape 6">
          <a:extLst>
            <a:ext uri="{FF2B5EF4-FFF2-40B4-BE49-F238E27FC236}">
              <a16:creationId xmlns:a16="http://schemas.microsoft.com/office/drawing/2014/main" id="{87DB29B8-5034-4CB0-8234-9B6D3EFEB373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55" name="Shape 7">
          <a:extLst>
            <a:ext uri="{FF2B5EF4-FFF2-40B4-BE49-F238E27FC236}">
              <a16:creationId xmlns:a16="http://schemas.microsoft.com/office/drawing/2014/main" id="{CC30A196-3ACF-40E5-A46C-4E9BCC59901B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1756" name="Shape 6">
          <a:extLst>
            <a:ext uri="{FF2B5EF4-FFF2-40B4-BE49-F238E27FC236}">
              <a16:creationId xmlns:a16="http://schemas.microsoft.com/office/drawing/2014/main" id="{44E4CBDF-FE64-4402-92D2-E79DCF1969F7}"/>
            </a:ext>
          </a:extLst>
        </xdr:cNvPr>
        <xdr:cNvSpPr/>
      </xdr:nvSpPr>
      <xdr:spPr>
        <a:xfrm>
          <a:off x="1466850" y="28503563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57" name="Shape 6">
          <a:extLst>
            <a:ext uri="{FF2B5EF4-FFF2-40B4-BE49-F238E27FC236}">
              <a16:creationId xmlns:a16="http://schemas.microsoft.com/office/drawing/2014/main" id="{84D3AAAE-D31C-46B9-B551-1E6E3C534412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58" name="Shape 6">
          <a:extLst>
            <a:ext uri="{FF2B5EF4-FFF2-40B4-BE49-F238E27FC236}">
              <a16:creationId xmlns:a16="http://schemas.microsoft.com/office/drawing/2014/main" id="{171F4CD5-4AC3-42C5-B3B8-AC0D5B5BA0DE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59" name="Shape 6">
          <a:extLst>
            <a:ext uri="{FF2B5EF4-FFF2-40B4-BE49-F238E27FC236}">
              <a16:creationId xmlns:a16="http://schemas.microsoft.com/office/drawing/2014/main" id="{149E69EF-0F9D-4647-8F84-D5218F26FE45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60" name="Shape 6">
          <a:extLst>
            <a:ext uri="{FF2B5EF4-FFF2-40B4-BE49-F238E27FC236}">
              <a16:creationId xmlns:a16="http://schemas.microsoft.com/office/drawing/2014/main" id="{362357F6-EA08-4ABA-BAE3-7A352EBA2CF0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61" name="Shape 6">
          <a:extLst>
            <a:ext uri="{FF2B5EF4-FFF2-40B4-BE49-F238E27FC236}">
              <a16:creationId xmlns:a16="http://schemas.microsoft.com/office/drawing/2014/main" id="{A222986F-D732-4748-BE6A-D76CD96C2608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62" name="Shape 5">
          <a:extLst>
            <a:ext uri="{FF2B5EF4-FFF2-40B4-BE49-F238E27FC236}">
              <a16:creationId xmlns:a16="http://schemas.microsoft.com/office/drawing/2014/main" id="{2A8213F2-16D2-43EF-9B5D-D14790F743C4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63" name="Shape 5">
          <a:extLst>
            <a:ext uri="{FF2B5EF4-FFF2-40B4-BE49-F238E27FC236}">
              <a16:creationId xmlns:a16="http://schemas.microsoft.com/office/drawing/2014/main" id="{EE10A969-3842-42EF-8E49-74F5BBE667E2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64" name="Shape 5">
          <a:extLst>
            <a:ext uri="{FF2B5EF4-FFF2-40B4-BE49-F238E27FC236}">
              <a16:creationId xmlns:a16="http://schemas.microsoft.com/office/drawing/2014/main" id="{F1C052C2-05A5-4C45-A597-03B048890B59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65" name="Shape 5">
          <a:extLst>
            <a:ext uri="{FF2B5EF4-FFF2-40B4-BE49-F238E27FC236}">
              <a16:creationId xmlns:a16="http://schemas.microsoft.com/office/drawing/2014/main" id="{80FF3487-E013-4D29-A40A-2985757ECBB6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66" name="Shape 5">
          <a:extLst>
            <a:ext uri="{FF2B5EF4-FFF2-40B4-BE49-F238E27FC236}">
              <a16:creationId xmlns:a16="http://schemas.microsoft.com/office/drawing/2014/main" id="{DEC347FF-F213-4A91-B7E5-5078BA59415E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67" name="Shape 4">
          <a:extLst>
            <a:ext uri="{FF2B5EF4-FFF2-40B4-BE49-F238E27FC236}">
              <a16:creationId xmlns:a16="http://schemas.microsoft.com/office/drawing/2014/main" id="{BFA89619-1831-4628-97C0-38EA1E5ADB64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68" name="Shape 5">
          <a:extLst>
            <a:ext uri="{FF2B5EF4-FFF2-40B4-BE49-F238E27FC236}">
              <a16:creationId xmlns:a16="http://schemas.microsoft.com/office/drawing/2014/main" id="{8D1BF6AA-95A2-41F1-BC15-FFA113F06F31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69" name="Shape 4">
          <a:extLst>
            <a:ext uri="{FF2B5EF4-FFF2-40B4-BE49-F238E27FC236}">
              <a16:creationId xmlns:a16="http://schemas.microsoft.com/office/drawing/2014/main" id="{15E0807D-F7D7-4FF3-8BB6-19128E91C797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0" name="Shape 5">
          <a:extLst>
            <a:ext uri="{FF2B5EF4-FFF2-40B4-BE49-F238E27FC236}">
              <a16:creationId xmlns:a16="http://schemas.microsoft.com/office/drawing/2014/main" id="{028C3D4D-6170-4EF0-8537-864F44738130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1" name="Shape 5">
          <a:extLst>
            <a:ext uri="{FF2B5EF4-FFF2-40B4-BE49-F238E27FC236}">
              <a16:creationId xmlns:a16="http://schemas.microsoft.com/office/drawing/2014/main" id="{F8D48C35-80A2-44FD-889F-93D0C5AEE585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2" name="Shape 5">
          <a:extLst>
            <a:ext uri="{FF2B5EF4-FFF2-40B4-BE49-F238E27FC236}">
              <a16:creationId xmlns:a16="http://schemas.microsoft.com/office/drawing/2014/main" id="{9EEC86DF-B067-403B-9D9A-5006C549BBCA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3" name="Shape 5">
          <a:extLst>
            <a:ext uri="{FF2B5EF4-FFF2-40B4-BE49-F238E27FC236}">
              <a16:creationId xmlns:a16="http://schemas.microsoft.com/office/drawing/2014/main" id="{57E82CAF-AEF0-4B03-A720-4DC973B1E04D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4" name="Shape 5">
          <a:extLst>
            <a:ext uri="{FF2B5EF4-FFF2-40B4-BE49-F238E27FC236}">
              <a16:creationId xmlns:a16="http://schemas.microsoft.com/office/drawing/2014/main" id="{E325A8F7-3512-4493-B4D2-6830A32A8915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5" name="Shape 5">
          <a:extLst>
            <a:ext uri="{FF2B5EF4-FFF2-40B4-BE49-F238E27FC236}">
              <a16:creationId xmlns:a16="http://schemas.microsoft.com/office/drawing/2014/main" id="{BBBF492D-566C-4A07-BA99-6B2304A64867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6" name="Shape 5">
          <a:extLst>
            <a:ext uri="{FF2B5EF4-FFF2-40B4-BE49-F238E27FC236}">
              <a16:creationId xmlns:a16="http://schemas.microsoft.com/office/drawing/2014/main" id="{F14DB38D-E2E9-44E6-9F40-E5D3F599AD7B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7" name="Shape 5">
          <a:extLst>
            <a:ext uri="{FF2B5EF4-FFF2-40B4-BE49-F238E27FC236}">
              <a16:creationId xmlns:a16="http://schemas.microsoft.com/office/drawing/2014/main" id="{686F5D9A-B5BF-4A1F-9662-559B1D54955E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8" name="Shape 5">
          <a:extLst>
            <a:ext uri="{FF2B5EF4-FFF2-40B4-BE49-F238E27FC236}">
              <a16:creationId xmlns:a16="http://schemas.microsoft.com/office/drawing/2014/main" id="{160CACFC-79F0-48BE-A3A8-5D251F0F6CAD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79" name="Shape 5">
          <a:extLst>
            <a:ext uri="{FF2B5EF4-FFF2-40B4-BE49-F238E27FC236}">
              <a16:creationId xmlns:a16="http://schemas.microsoft.com/office/drawing/2014/main" id="{AAD8E0DD-BB79-4A6E-B12D-26A9FF4567C5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1780" name="Shape 5">
          <a:extLst>
            <a:ext uri="{FF2B5EF4-FFF2-40B4-BE49-F238E27FC236}">
              <a16:creationId xmlns:a16="http://schemas.microsoft.com/office/drawing/2014/main" id="{696FB1FF-F2D2-4007-B95E-850E41D1F589}"/>
            </a:ext>
          </a:extLst>
        </xdr:cNvPr>
        <xdr:cNvSpPr/>
      </xdr:nvSpPr>
      <xdr:spPr>
        <a:xfrm>
          <a:off x="1466850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81" name="Shape 4">
          <a:extLst>
            <a:ext uri="{FF2B5EF4-FFF2-40B4-BE49-F238E27FC236}">
              <a16:creationId xmlns:a16="http://schemas.microsoft.com/office/drawing/2014/main" id="{9ED97DEC-50C1-4540-B7E3-0E4AE2445FAD}"/>
            </a:ext>
          </a:extLst>
        </xdr:cNvPr>
        <xdr:cNvSpPr/>
      </xdr:nvSpPr>
      <xdr:spPr>
        <a:xfrm>
          <a:off x="7577138" y="2870596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82" name="Shape 4">
          <a:extLst>
            <a:ext uri="{FF2B5EF4-FFF2-40B4-BE49-F238E27FC236}">
              <a16:creationId xmlns:a16="http://schemas.microsoft.com/office/drawing/2014/main" id="{515452E9-C2CE-4081-9565-FEAB4ED96E71}"/>
            </a:ext>
          </a:extLst>
        </xdr:cNvPr>
        <xdr:cNvSpPr/>
      </xdr:nvSpPr>
      <xdr:spPr>
        <a:xfrm>
          <a:off x="7577138" y="2870596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83" name="Shape 7">
          <a:extLst>
            <a:ext uri="{FF2B5EF4-FFF2-40B4-BE49-F238E27FC236}">
              <a16:creationId xmlns:a16="http://schemas.microsoft.com/office/drawing/2014/main" id="{44F1510F-4131-448A-A2FD-8E3CCBA4787E}"/>
            </a:ext>
          </a:extLst>
        </xdr:cNvPr>
        <xdr:cNvSpPr/>
      </xdr:nvSpPr>
      <xdr:spPr>
        <a:xfrm>
          <a:off x="7577138" y="2870596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84" name="Shape 7">
          <a:extLst>
            <a:ext uri="{FF2B5EF4-FFF2-40B4-BE49-F238E27FC236}">
              <a16:creationId xmlns:a16="http://schemas.microsoft.com/office/drawing/2014/main" id="{5C5B7C84-94A2-49EC-822F-BA6FD86A7EE5}"/>
            </a:ext>
          </a:extLst>
        </xdr:cNvPr>
        <xdr:cNvSpPr/>
      </xdr:nvSpPr>
      <xdr:spPr>
        <a:xfrm>
          <a:off x="7577138" y="2870596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85" name="Shape 4">
          <a:extLst>
            <a:ext uri="{FF2B5EF4-FFF2-40B4-BE49-F238E27FC236}">
              <a16:creationId xmlns:a16="http://schemas.microsoft.com/office/drawing/2014/main" id="{A1294FEF-5F32-4AB9-BC79-A51599B1D910}"/>
            </a:ext>
          </a:extLst>
        </xdr:cNvPr>
        <xdr:cNvSpPr/>
      </xdr:nvSpPr>
      <xdr:spPr>
        <a:xfrm>
          <a:off x="7577138" y="2870596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86" name="Shape 4">
          <a:extLst>
            <a:ext uri="{FF2B5EF4-FFF2-40B4-BE49-F238E27FC236}">
              <a16:creationId xmlns:a16="http://schemas.microsoft.com/office/drawing/2014/main" id="{DCA02B56-9CAA-40B9-A6C0-8728AA2DA5D0}"/>
            </a:ext>
          </a:extLst>
        </xdr:cNvPr>
        <xdr:cNvSpPr/>
      </xdr:nvSpPr>
      <xdr:spPr>
        <a:xfrm>
          <a:off x="7577138" y="28705969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87" name="Shape 4">
          <a:extLst>
            <a:ext uri="{FF2B5EF4-FFF2-40B4-BE49-F238E27FC236}">
              <a16:creationId xmlns:a16="http://schemas.microsoft.com/office/drawing/2014/main" id="{319B179C-DC90-4C54-B966-A8EBD8261012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88" name="Shape 4">
          <a:extLst>
            <a:ext uri="{FF2B5EF4-FFF2-40B4-BE49-F238E27FC236}">
              <a16:creationId xmlns:a16="http://schemas.microsoft.com/office/drawing/2014/main" id="{A58B234E-832F-4726-815D-56F7C8B96D5B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89" name="Shape 7">
          <a:extLst>
            <a:ext uri="{FF2B5EF4-FFF2-40B4-BE49-F238E27FC236}">
              <a16:creationId xmlns:a16="http://schemas.microsoft.com/office/drawing/2014/main" id="{BD7F0356-0959-4CD1-B08B-CCFD87BB690F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90" name="Shape 7">
          <a:extLst>
            <a:ext uri="{FF2B5EF4-FFF2-40B4-BE49-F238E27FC236}">
              <a16:creationId xmlns:a16="http://schemas.microsoft.com/office/drawing/2014/main" id="{FDC3DCCD-5AD9-4EBA-B46B-C7800C27D7F7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91" name="Shape 4">
          <a:extLst>
            <a:ext uri="{FF2B5EF4-FFF2-40B4-BE49-F238E27FC236}">
              <a16:creationId xmlns:a16="http://schemas.microsoft.com/office/drawing/2014/main" id="{E79C49BA-F948-4329-ABCA-D70FF9DE90DF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92" name="Shape 4">
          <a:extLst>
            <a:ext uri="{FF2B5EF4-FFF2-40B4-BE49-F238E27FC236}">
              <a16:creationId xmlns:a16="http://schemas.microsoft.com/office/drawing/2014/main" id="{AACA3F1A-60AF-4D7C-89F4-C6115177A33E}"/>
            </a:ext>
          </a:extLst>
        </xdr:cNvPr>
        <xdr:cNvSpPr/>
      </xdr:nvSpPr>
      <xdr:spPr>
        <a:xfrm>
          <a:off x="7577138" y="28503563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93" name="Shape 4">
          <a:extLst>
            <a:ext uri="{FF2B5EF4-FFF2-40B4-BE49-F238E27FC236}">
              <a16:creationId xmlns:a16="http://schemas.microsoft.com/office/drawing/2014/main" id="{DEA2A818-DF95-4FF5-BC87-8EE7855C1487}"/>
            </a:ext>
          </a:extLst>
        </xdr:cNvPr>
        <xdr:cNvSpPr/>
      </xdr:nvSpPr>
      <xdr:spPr>
        <a:xfrm>
          <a:off x="7791450" y="2758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94" name="Shape 4">
          <a:extLst>
            <a:ext uri="{FF2B5EF4-FFF2-40B4-BE49-F238E27FC236}">
              <a16:creationId xmlns:a16="http://schemas.microsoft.com/office/drawing/2014/main" id="{E4E294F0-4394-40E4-BDA3-E97BDFB0A5C7}"/>
            </a:ext>
          </a:extLst>
        </xdr:cNvPr>
        <xdr:cNvSpPr/>
      </xdr:nvSpPr>
      <xdr:spPr>
        <a:xfrm>
          <a:off x="7791450" y="2758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95" name="Shape 7">
          <a:extLst>
            <a:ext uri="{FF2B5EF4-FFF2-40B4-BE49-F238E27FC236}">
              <a16:creationId xmlns:a16="http://schemas.microsoft.com/office/drawing/2014/main" id="{F08F7077-1C9D-470B-97A0-68B6ADAEFE9C}"/>
            </a:ext>
          </a:extLst>
        </xdr:cNvPr>
        <xdr:cNvSpPr/>
      </xdr:nvSpPr>
      <xdr:spPr>
        <a:xfrm>
          <a:off x="7791450" y="2758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96" name="Shape 7">
          <a:extLst>
            <a:ext uri="{FF2B5EF4-FFF2-40B4-BE49-F238E27FC236}">
              <a16:creationId xmlns:a16="http://schemas.microsoft.com/office/drawing/2014/main" id="{09BD1B43-5581-4E31-B8EB-C56C42A189EB}"/>
            </a:ext>
          </a:extLst>
        </xdr:cNvPr>
        <xdr:cNvSpPr/>
      </xdr:nvSpPr>
      <xdr:spPr>
        <a:xfrm>
          <a:off x="7791450" y="2758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97" name="Shape 4">
          <a:extLst>
            <a:ext uri="{FF2B5EF4-FFF2-40B4-BE49-F238E27FC236}">
              <a16:creationId xmlns:a16="http://schemas.microsoft.com/office/drawing/2014/main" id="{8F143942-8184-4544-AF3F-FE8489470DAB}"/>
            </a:ext>
          </a:extLst>
        </xdr:cNvPr>
        <xdr:cNvSpPr/>
      </xdr:nvSpPr>
      <xdr:spPr>
        <a:xfrm>
          <a:off x="7791450" y="2758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137</xdr:row>
      <xdr:rowOff>0</xdr:rowOff>
    </xdr:from>
    <xdr:ext cx="38100" cy="9525"/>
    <xdr:sp macro="" textlink="">
      <xdr:nvSpPr>
        <xdr:cNvPr id="1798" name="Shape 4">
          <a:extLst>
            <a:ext uri="{FF2B5EF4-FFF2-40B4-BE49-F238E27FC236}">
              <a16:creationId xmlns:a16="http://schemas.microsoft.com/office/drawing/2014/main" id="{C5169C82-C5A4-4A9D-96C0-16CC861D3935}"/>
            </a:ext>
          </a:extLst>
        </xdr:cNvPr>
        <xdr:cNvSpPr/>
      </xdr:nvSpPr>
      <xdr:spPr>
        <a:xfrm>
          <a:off x="7791450" y="2758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118</xdr:row>
      <xdr:rowOff>0</xdr:rowOff>
    </xdr:from>
    <xdr:ext cx="38100" cy="9525"/>
    <xdr:sp macro="" textlink="">
      <xdr:nvSpPr>
        <xdr:cNvPr id="1799" name="Shape 4">
          <a:extLst>
            <a:ext uri="{FF2B5EF4-FFF2-40B4-BE49-F238E27FC236}">
              <a16:creationId xmlns:a16="http://schemas.microsoft.com/office/drawing/2014/main" id="{25C267AB-B2D5-49C1-87B5-BF3201BA3829}"/>
            </a:ext>
          </a:extLst>
        </xdr:cNvPr>
        <xdr:cNvSpPr/>
      </xdr:nvSpPr>
      <xdr:spPr>
        <a:xfrm>
          <a:off x="7791450" y="2377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118</xdr:row>
      <xdr:rowOff>0</xdr:rowOff>
    </xdr:from>
    <xdr:ext cx="38100" cy="9525"/>
    <xdr:sp macro="" textlink="">
      <xdr:nvSpPr>
        <xdr:cNvPr id="1800" name="Shape 4">
          <a:extLst>
            <a:ext uri="{FF2B5EF4-FFF2-40B4-BE49-F238E27FC236}">
              <a16:creationId xmlns:a16="http://schemas.microsoft.com/office/drawing/2014/main" id="{4B2B7BBD-961C-411A-92F1-3F389C943DAC}"/>
            </a:ext>
          </a:extLst>
        </xdr:cNvPr>
        <xdr:cNvSpPr/>
      </xdr:nvSpPr>
      <xdr:spPr>
        <a:xfrm>
          <a:off x="7791450" y="2377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118</xdr:row>
      <xdr:rowOff>0</xdr:rowOff>
    </xdr:from>
    <xdr:ext cx="38100" cy="9525"/>
    <xdr:sp macro="" textlink="">
      <xdr:nvSpPr>
        <xdr:cNvPr id="1801" name="Shape 7">
          <a:extLst>
            <a:ext uri="{FF2B5EF4-FFF2-40B4-BE49-F238E27FC236}">
              <a16:creationId xmlns:a16="http://schemas.microsoft.com/office/drawing/2014/main" id="{BA15BBF7-72BB-4DAB-9F77-768E746CE6C5}"/>
            </a:ext>
          </a:extLst>
        </xdr:cNvPr>
        <xdr:cNvSpPr/>
      </xdr:nvSpPr>
      <xdr:spPr>
        <a:xfrm>
          <a:off x="7791450" y="2377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118</xdr:row>
      <xdr:rowOff>0</xdr:rowOff>
    </xdr:from>
    <xdr:ext cx="38100" cy="9525"/>
    <xdr:sp macro="" textlink="">
      <xdr:nvSpPr>
        <xdr:cNvPr id="1802" name="Shape 7">
          <a:extLst>
            <a:ext uri="{FF2B5EF4-FFF2-40B4-BE49-F238E27FC236}">
              <a16:creationId xmlns:a16="http://schemas.microsoft.com/office/drawing/2014/main" id="{8D04035C-5CFB-4988-9D46-06263A7FA8D7}"/>
            </a:ext>
          </a:extLst>
        </xdr:cNvPr>
        <xdr:cNvSpPr/>
      </xdr:nvSpPr>
      <xdr:spPr>
        <a:xfrm>
          <a:off x="7791450" y="2377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118</xdr:row>
      <xdr:rowOff>0</xdr:rowOff>
    </xdr:from>
    <xdr:ext cx="38100" cy="9525"/>
    <xdr:sp macro="" textlink="">
      <xdr:nvSpPr>
        <xdr:cNvPr id="1803" name="Shape 4">
          <a:extLst>
            <a:ext uri="{FF2B5EF4-FFF2-40B4-BE49-F238E27FC236}">
              <a16:creationId xmlns:a16="http://schemas.microsoft.com/office/drawing/2014/main" id="{0F28505E-76B1-4042-A1C8-B229D5564F12}"/>
            </a:ext>
          </a:extLst>
        </xdr:cNvPr>
        <xdr:cNvSpPr/>
      </xdr:nvSpPr>
      <xdr:spPr>
        <a:xfrm>
          <a:off x="7791450" y="2377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118</xdr:row>
      <xdr:rowOff>0</xdr:rowOff>
    </xdr:from>
    <xdr:ext cx="38100" cy="9525"/>
    <xdr:sp macro="" textlink="">
      <xdr:nvSpPr>
        <xdr:cNvPr id="1804" name="Shape 4">
          <a:extLst>
            <a:ext uri="{FF2B5EF4-FFF2-40B4-BE49-F238E27FC236}">
              <a16:creationId xmlns:a16="http://schemas.microsoft.com/office/drawing/2014/main" id="{8E077F21-FAA8-43CF-9A5D-58F261D1ACE4}"/>
            </a:ext>
          </a:extLst>
        </xdr:cNvPr>
        <xdr:cNvSpPr/>
      </xdr:nvSpPr>
      <xdr:spPr>
        <a:xfrm>
          <a:off x="7791450" y="237744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134</xdr:row>
      <xdr:rowOff>0</xdr:rowOff>
    </xdr:from>
    <xdr:ext cx="38100" cy="9525"/>
    <xdr:sp macro="" textlink="">
      <xdr:nvSpPr>
        <xdr:cNvPr id="1805" name="Shape 4">
          <a:extLst>
            <a:ext uri="{FF2B5EF4-FFF2-40B4-BE49-F238E27FC236}">
              <a16:creationId xmlns:a16="http://schemas.microsoft.com/office/drawing/2014/main" id="{9C53C3FC-716C-4D92-ADE1-A3D3CFA812C4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134</xdr:row>
      <xdr:rowOff>0</xdr:rowOff>
    </xdr:from>
    <xdr:ext cx="38100" cy="9525"/>
    <xdr:sp macro="" textlink="">
      <xdr:nvSpPr>
        <xdr:cNvPr id="1806" name="Shape 4">
          <a:extLst>
            <a:ext uri="{FF2B5EF4-FFF2-40B4-BE49-F238E27FC236}">
              <a16:creationId xmlns:a16="http://schemas.microsoft.com/office/drawing/2014/main" id="{448DA71F-0913-4F64-8CE2-2961D67392E9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134</xdr:row>
      <xdr:rowOff>0</xdr:rowOff>
    </xdr:from>
    <xdr:ext cx="38100" cy="9525"/>
    <xdr:sp macro="" textlink="">
      <xdr:nvSpPr>
        <xdr:cNvPr id="1807" name="Shape 7">
          <a:extLst>
            <a:ext uri="{FF2B5EF4-FFF2-40B4-BE49-F238E27FC236}">
              <a16:creationId xmlns:a16="http://schemas.microsoft.com/office/drawing/2014/main" id="{A2103785-EF6F-4E27-A972-ED669C1887F1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134</xdr:row>
      <xdr:rowOff>0</xdr:rowOff>
    </xdr:from>
    <xdr:ext cx="38100" cy="9525"/>
    <xdr:sp macro="" textlink="">
      <xdr:nvSpPr>
        <xdr:cNvPr id="1808" name="Shape 7">
          <a:extLst>
            <a:ext uri="{FF2B5EF4-FFF2-40B4-BE49-F238E27FC236}">
              <a16:creationId xmlns:a16="http://schemas.microsoft.com/office/drawing/2014/main" id="{D77DDBC6-9CA9-47C4-B45E-B2F4608E3841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134</xdr:row>
      <xdr:rowOff>0</xdr:rowOff>
    </xdr:from>
    <xdr:ext cx="38100" cy="9525"/>
    <xdr:sp macro="" textlink="">
      <xdr:nvSpPr>
        <xdr:cNvPr id="1809" name="Shape 4">
          <a:extLst>
            <a:ext uri="{FF2B5EF4-FFF2-40B4-BE49-F238E27FC236}">
              <a16:creationId xmlns:a16="http://schemas.microsoft.com/office/drawing/2014/main" id="{2E56F8EE-E781-4651-9233-475764B95175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134</xdr:row>
      <xdr:rowOff>0</xdr:rowOff>
    </xdr:from>
    <xdr:ext cx="38100" cy="9525"/>
    <xdr:sp macro="" textlink="">
      <xdr:nvSpPr>
        <xdr:cNvPr id="1810" name="Shape 4">
          <a:extLst>
            <a:ext uri="{FF2B5EF4-FFF2-40B4-BE49-F238E27FC236}">
              <a16:creationId xmlns:a16="http://schemas.microsoft.com/office/drawing/2014/main" id="{AC8FB927-3075-487F-AF9C-5AFFAE62D2D1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11" name="Shape 4">
          <a:extLst>
            <a:ext uri="{FF2B5EF4-FFF2-40B4-BE49-F238E27FC236}">
              <a16:creationId xmlns:a16="http://schemas.microsoft.com/office/drawing/2014/main" id="{08152CE4-576A-4AB0-BB5B-F1116E9C3ABB}"/>
            </a:ext>
          </a:extLst>
        </xdr:cNvPr>
        <xdr:cNvSpPr/>
      </xdr:nvSpPr>
      <xdr:spPr>
        <a:xfrm>
          <a:off x="7791450" y="317373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12" name="Shape 4">
          <a:extLst>
            <a:ext uri="{FF2B5EF4-FFF2-40B4-BE49-F238E27FC236}">
              <a16:creationId xmlns:a16="http://schemas.microsoft.com/office/drawing/2014/main" id="{46206182-7B88-4107-AA2A-798A71C6F1AD}"/>
            </a:ext>
          </a:extLst>
        </xdr:cNvPr>
        <xdr:cNvSpPr/>
      </xdr:nvSpPr>
      <xdr:spPr>
        <a:xfrm>
          <a:off x="7791450" y="317373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13" name="Shape 7">
          <a:extLst>
            <a:ext uri="{FF2B5EF4-FFF2-40B4-BE49-F238E27FC236}">
              <a16:creationId xmlns:a16="http://schemas.microsoft.com/office/drawing/2014/main" id="{3A496EBB-7797-4431-9AFA-8AE2727EB356}"/>
            </a:ext>
          </a:extLst>
        </xdr:cNvPr>
        <xdr:cNvSpPr/>
      </xdr:nvSpPr>
      <xdr:spPr>
        <a:xfrm>
          <a:off x="7791450" y="317373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14" name="Shape 7">
          <a:extLst>
            <a:ext uri="{FF2B5EF4-FFF2-40B4-BE49-F238E27FC236}">
              <a16:creationId xmlns:a16="http://schemas.microsoft.com/office/drawing/2014/main" id="{569827D7-F95E-4A3B-9115-2AB23363AFE9}"/>
            </a:ext>
          </a:extLst>
        </xdr:cNvPr>
        <xdr:cNvSpPr/>
      </xdr:nvSpPr>
      <xdr:spPr>
        <a:xfrm>
          <a:off x="7791450" y="317373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15" name="Shape 4">
          <a:extLst>
            <a:ext uri="{FF2B5EF4-FFF2-40B4-BE49-F238E27FC236}">
              <a16:creationId xmlns:a16="http://schemas.microsoft.com/office/drawing/2014/main" id="{29C5F277-E1BE-418F-BDD6-149C59A6ACE6}"/>
            </a:ext>
          </a:extLst>
        </xdr:cNvPr>
        <xdr:cNvSpPr/>
      </xdr:nvSpPr>
      <xdr:spPr>
        <a:xfrm>
          <a:off x="7791450" y="317373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16" name="Shape 4">
          <a:extLst>
            <a:ext uri="{FF2B5EF4-FFF2-40B4-BE49-F238E27FC236}">
              <a16:creationId xmlns:a16="http://schemas.microsoft.com/office/drawing/2014/main" id="{9CDE51A9-EE84-4CA3-B283-38C49DD8CC5E}"/>
            </a:ext>
          </a:extLst>
        </xdr:cNvPr>
        <xdr:cNvSpPr/>
      </xdr:nvSpPr>
      <xdr:spPr>
        <a:xfrm>
          <a:off x="7791450" y="317373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17" name="Shape 4">
          <a:extLst>
            <a:ext uri="{FF2B5EF4-FFF2-40B4-BE49-F238E27FC236}">
              <a16:creationId xmlns:a16="http://schemas.microsoft.com/office/drawing/2014/main" id="{C597DF5E-B38B-4EE5-903B-CD8BE4EDC801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18" name="Shape 4">
          <a:extLst>
            <a:ext uri="{FF2B5EF4-FFF2-40B4-BE49-F238E27FC236}">
              <a16:creationId xmlns:a16="http://schemas.microsoft.com/office/drawing/2014/main" id="{01054EA4-A399-4792-B5A2-03CFB80A6B88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19" name="Shape 7">
          <a:extLst>
            <a:ext uri="{FF2B5EF4-FFF2-40B4-BE49-F238E27FC236}">
              <a16:creationId xmlns:a16="http://schemas.microsoft.com/office/drawing/2014/main" id="{C6992CCF-0A0D-490C-B4B8-30AA72D11511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20" name="Shape 7">
          <a:extLst>
            <a:ext uri="{FF2B5EF4-FFF2-40B4-BE49-F238E27FC236}">
              <a16:creationId xmlns:a16="http://schemas.microsoft.com/office/drawing/2014/main" id="{B75AC789-1E8E-4042-8269-362D2EC79F2B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21" name="Shape 4">
          <a:extLst>
            <a:ext uri="{FF2B5EF4-FFF2-40B4-BE49-F238E27FC236}">
              <a16:creationId xmlns:a16="http://schemas.microsoft.com/office/drawing/2014/main" id="{8BB237D0-CA11-41EF-9BBC-FED1389DFB0A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150</xdr:row>
      <xdr:rowOff>0</xdr:rowOff>
    </xdr:from>
    <xdr:ext cx="38100" cy="9525"/>
    <xdr:sp macro="" textlink="">
      <xdr:nvSpPr>
        <xdr:cNvPr id="1822" name="Shape 4">
          <a:extLst>
            <a:ext uri="{FF2B5EF4-FFF2-40B4-BE49-F238E27FC236}">
              <a16:creationId xmlns:a16="http://schemas.microsoft.com/office/drawing/2014/main" id="{DE4E7D79-3497-4B5F-A99A-D493DD6DDAB2}"/>
            </a:ext>
          </a:extLst>
        </xdr:cNvPr>
        <xdr:cNvSpPr/>
      </xdr:nvSpPr>
      <xdr:spPr>
        <a:xfrm>
          <a:off x="7791450" y="290322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23" name="Shape 5">
          <a:extLst>
            <a:ext uri="{FF2B5EF4-FFF2-40B4-BE49-F238E27FC236}">
              <a16:creationId xmlns:a16="http://schemas.microsoft.com/office/drawing/2014/main" id="{72E451CE-E12E-4054-8354-F424D739F745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24" name="Shape 5">
          <a:extLst>
            <a:ext uri="{FF2B5EF4-FFF2-40B4-BE49-F238E27FC236}">
              <a16:creationId xmlns:a16="http://schemas.microsoft.com/office/drawing/2014/main" id="{A5753F41-7971-4C6C-8A43-75D3DE116424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25" name="Shape 5">
          <a:extLst>
            <a:ext uri="{FF2B5EF4-FFF2-40B4-BE49-F238E27FC236}">
              <a16:creationId xmlns:a16="http://schemas.microsoft.com/office/drawing/2014/main" id="{3FB2B9B1-60DE-4EC8-A2D4-B9FC262297DE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26" name="Shape 5">
          <a:extLst>
            <a:ext uri="{FF2B5EF4-FFF2-40B4-BE49-F238E27FC236}">
              <a16:creationId xmlns:a16="http://schemas.microsoft.com/office/drawing/2014/main" id="{C32F9684-CE84-4213-B565-EC7BB193DBDB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27" name="Shape 5">
          <a:extLst>
            <a:ext uri="{FF2B5EF4-FFF2-40B4-BE49-F238E27FC236}">
              <a16:creationId xmlns:a16="http://schemas.microsoft.com/office/drawing/2014/main" id="{B695D03C-F17B-426B-B05D-29B5CDB29FCE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28" name="Shape 5">
          <a:extLst>
            <a:ext uri="{FF2B5EF4-FFF2-40B4-BE49-F238E27FC236}">
              <a16:creationId xmlns:a16="http://schemas.microsoft.com/office/drawing/2014/main" id="{BE4FDE2E-5AA1-499C-9331-854AD084EFAE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29" name="Shape 6">
          <a:extLst>
            <a:ext uri="{FF2B5EF4-FFF2-40B4-BE49-F238E27FC236}">
              <a16:creationId xmlns:a16="http://schemas.microsoft.com/office/drawing/2014/main" id="{4348494B-5A82-491E-A7AD-B919B443A57D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30" name="Shape 6">
          <a:extLst>
            <a:ext uri="{FF2B5EF4-FFF2-40B4-BE49-F238E27FC236}">
              <a16:creationId xmlns:a16="http://schemas.microsoft.com/office/drawing/2014/main" id="{B2AF0DAC-0012-4079-8922-CCB071C68A7D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31" name="Shape 6">
          <a:extLst>
            <a:ext uri="{FF2B5EF4-FFF2-40B4-BE49-F238E27FC236}">
              <a16:creationId xmlns:a16="http://schemas.microsoft.com/office/drawing/2014/main" id="{A7A5F03F-A10C-4FA2-B118-CCD1BCD44F27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32" name="Shape 6">
          <a:extLst>
            <a:ext uri="{FF2B5EF4-FFF2-40B4-BE49-F238E27FC236}">
              <a16:creationId xmlns:a16="http://schemas.microsoft.com/office/drawing/2014/main" id="{43CB97E1-0DCF-4E93-B022-7A9E18E4EB97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33" name="Shape 6">
          <a:extLst>
            <a:ext uri="{FF2B5EF4-FFF2-40B4-BE49-F238E27FC236}">
              <a16:creationId xmlns:a16="http://schemas.microsoft.com/office/drawing/2014/main" id="{A2B71A9B-A325-4912-8883-4DE88B61F09C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34" name="Shape 6">
          <a:extLst>
            <a:ext uri="{FF2B5EF4-FFF2-40B4-BE49-F238E27FC236}">
              <a16:creationId xmlns:a16="http://schemas.microsoft.com/office/drawing/2014/main" id="{FD170901-21C3-4049-8A6D-38846D7CE74A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35" name="Shape 6">
          <a:extLst>
            <a:ext uri="{FF2B5EF4-FFF2-40B4-BE49-F238E27FC236}">
              <a16:creationId xmlns:a16="http://schemas.microsoft.com/office/drawing/2014/main" id="{086E94E8-4844-4A85-BFBF-49FE865D836A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36" name="Shape 6">
          <a:extLst>
            <a:ext uri="{FF2B5EF4-FFF2-40B4-BE49-F238E27FC236}">
              <a16:creationId xmlns:a16="http://schemas.microsoft.com/office/drawing/2014/main" id="{25499898-7A78-4E0F-8B69-F1EA7B664CFB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37" name="Shape 6">
          <a:extLst>
            <a:ext uri="{FF2B5EF4-FFF2-40B4-BE49-F238E27FC236}">
              <a16:creationId xmlns:a16="http://schemas.microsoft.com/office/drawing/2014/main" id="{40281625-B236-4524-941D-D77769FE2F38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38" name="Shape 5">
          <a:extLst>
            <a:ext uri="{FF2B5EF4-FFF2-40B4-BE49-F238E27FC236}">
              <a16:creationId xmlns:a16="http://schemas.microsoft.com/office/drawing/2014/main" id="{B050390C-ADEF-456A-B808-D2BB578A22BD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39" name="Shape 5">
          <a:extLst>
            <a:ext uri="{FF2B5EF4-FFF2-40B4-BE49-F238E27FC236}">
              <a16:creationId xmlns:a16="http://schemas.microsoft.com/office/drawing/2014/main" id="{A2CB3DD7-8BE7-4164-8993-ED863B42D61B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40" name="Shape 5">
          <a:extLst>
            <a:ext uri="{FF2B5EF4-FFF2-40B4-BE49-F238E27FC236}">
              <a16:creationId xmlns:a16="http://schemas.microsoft.com/office/drawing/2014/main" id="{0E4A343D-15BF-438B-A4D6-941F6522C14E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41" name="Shape 5">
          <a:extLst>
            <a:ext uri="{FF2B5EF4-FFF2-40B4-BE49-F238E27FC236}">
              <a16:creationId xmlns:a16="http://schemas.microsoft.com/office/drawing/2014/main" id="{970885C2-B607-4604-828C-024833009C9F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42" name="Shape 5">
          <a:extLst>
            <a:ext uri="{FF2B5EF4-FFF2-40B4-BE49-F238E27FC236}">
              <a16:creationId xmlns:a16="http://schemas.microsoft.com/office/drawing/2014/main" id="{0D070655-911C-4397-89EF-CD1543056B45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43" name="Shape 5">
          <a:extLst>
            <a:ext uri="{FF2B5EF4-FFF2-40B4-BE49-F238E27FC236}">
              <a16:creationId xmlns:a16="http://schemas.microsoft.com/office/drawing/2014/main" id="{40C59ADF-123B-46BA-8990-2243EFC8A136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44" name="Shape 5">
          <a:extLst>
            <a:ext uri="{FF2B5EF4-FFF2-40B4-BE49-F238E27FC236}">
              <a16:creationId xmlns:a16="http://schemas.microsoft.com/office/drawing/2014/main" id="{7A665460-F38E-4054-AF61-C252BD91A174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45" name="Shape 5">
          <a:extLst>
            <a:ext uri="{FF2B5EF4-FFF2-40B4-BE49-F238E27FC236}">
              <a16:creationId xmlns:a16="http://schemas.microsoft.com/office/drawing/2014/main" id="{7FB59C60-EF1F-463C-BC63-5CD047185418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46" name="Shape 6">
          <a:extLst>
            <a:ext uri="{FF2B5EF4-FFF2-40B4-BE49-F238E27FC236}">
              <a16:creationId xmlns:a16="http://schemas.microsoft.com/office/drawing/2014/main" id="{8B2F5298-D1F8-45B3-83C7-0CAA87EA6962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47" name="Shape 6">
          <a:extLst>
            <a:ext uri="{FF2B5EF4-FFF2-40B4-BE49-F238E27FC236}">
              <a16:creationId xmlns:a16="http://schemas.microsoft.com/office/drawing/2014/main" id="{AD052DF4-B0E0-4FC1-AB1F-81625A78D3FA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48" name="Shape 6">
          <a:extLst>
            <a:ext uri="{FF2B5EF4-FFF2-40B4-BE49-F238E27FC236}">
              <a16:creationId xmlns:a16="http://schemas.microsoft.com/office/drawing/2014/main" id="{FAC896C6-4FC9-4FEC-8F9B-78C380B2E664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49" name="Shape 6">
          <a:extLst>
            <a:ext uri="{FF2B5EF4-FFF2-40B4-BE49-F238E27FC236}">
              <a16:creationId xmlns:a16="http://schemas.microsoft.com/office/drawing/2014/main" id="{A71E404C-4802-443D-807E-E0B07F758B91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50" name="Shape 6">
          <a:extLst>
            <a:ext uri="{FF2B5EF4-FFF2-40B4-BE49-F238E27FC236}">
              <a16:creationId xmlns:a16="http://schemas.microsoft.com/office/drawing/2014/main" id="{76C6FA12-8AA0-4D23-8B90-722A283021A1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51" name="Shape 6">
          <a:extLst>
            <a:ext uri="{FF2B5EF4-FFF2-40B4-BE49-F238E27FC236}">
              <a16:creationId xmlns:a16="http://schemas.microsoft.com/office/drawing/2014/main" id="{2C82DFE7-6854-46D0-BA2F-E1F25BABB43B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28575" cy="9525"/>
    <xdr:sp macro="" textlink="">
      <xdr:nvSpPr>
        <xdr:cNvPr id="1852" name="Shape 6">
          <a:extLst>
            <a:ext uri="{FF2B5EF4-FFF2-40B4-BE49-F238E27FC236}">
              <a16:creationId xmlns:a16="http://schemas.microsoft.com/office/drawing/2014/main" id="{E2389348-8D81-4682-AAAC-452326A359E0}"/>
            </a:ext>
          </a:extLst>
        </xdr:cNvPr>
        <xdr:cNvSpPr/>
      </xdr:nvSpPr>
      <xdr:spPr>
        <a:xfrm>
          <a:off x="1514475" y="226028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53" name="Shape 6">
          <a:extLst>
            <a:ext uri="{FF2B5EF4-FFF2-40B4-BE49-F238E27FC236}">
              <a16:creationId xmlns:a16="http://schemas.microsoft.com/office/drawing/2014/main" id="{189D25F7-84AE-4B01-85B4-32C6ED366AB9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54" name="Shape 6">
          <a:extLst>
            <a:ext uri="{FF2B5EF4-FFF2-40B4-BE49-F238E27FC236}">
              <a16:creationId xmlns:a16="http://schemas.microsoft.com/office/drawing/2014/main" id="{77C1C71B-81BC-491F-8B66-EF28FECD9560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55" name="Shape 6">
          <a:extLst>
            <a:ext uri="{FF2B5EF4-FFF2-40B4-BE49-F238E27FC236}">
              <a16:creationId xmlns:a16="http://schemas.microsoft.com/office/drawing/2014/main" id="{ABE9D424-7158-41C1-AB3C-167318C9E6BD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56" name="Shape 6">
          <a:extLst>
            <a:ext uri="{FF2B5EF4-FFF2-40B4-BE49-F238E27FC236}">
              <a16:creationId xmlns:a16="http://schemas.microsoft.com/office/drawing/2014/main" id="{9300D0FB-00E2-4D2F-A48D-F8CAF7250823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57" name="Shape 6">
          <a:extLst>
            <a:ext uri="{FF2B5EF4-FFF2-40B4-BE49-F238E27FC236}">
              <a16:creationId xmlns:a16="http://schemas.microsoft.com/office/drawing/2014/main" id="{335CE67B-C4AB-4590-98F0-0E60400ABBB9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58" name="Shape 5">
          <a:extLst>
            <a:ext uri="{FF2B5EF4-FFF2-40B4-BE49-F238E27FC236}">
              <a16:creationId xmlns:a16="http://schemas.microsoft.com/office/drawing/2014/main" id="{F9538F82-B788-43D5-99CD-EC0E55714186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59" name="Shape 5">
          <a:extLst>
            <a:ext uri="{FF2B5EF4-FFF2-40B4-BE49-F238E27FC236}">
              <a16:creationId xmlns:a16="http://schemas.microsoft.com/office/drawing/2014/main" id="{B1FF9300-50C6-43C2-B9C9-56B8832F6EDC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0" name="Shape 5">
          <a:extLst>
            <a:ext uri="{FF2B5EF4-FFF2-40B4-BE49-F238E27FC236}">
              <a16:creationId xmlns:a16="http://schemas.microsoft.com/office/drawing/2014/main" id="{594AB4B9-76E6-4CF3-92EC-576C4DA6B656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1" name="Shape 5">
          <a:extLst>
            <a:ext uri="{FF2B5EF4-FFF2-40B4-BE49-F238E27FC236}">
              <a16:creationId xmlns:a16="http://schemas.microsoft.com/office/drawing/2014/main" id="{3597C3C4-54B1-426B-A5A7-189189F3E44B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2" name="Shape 5">
          <a:extLst>
            <a:ext uri="{FF2B5EF4-FFF2-40B4-BE49-F238E27FC236}">
              <a16:creationId xmlns:a16="http://schemas.microsoft.com/office/drawing/2014/main" id="{B73FBB7D-DF90-4282-99B8-B16CA4DEF037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3" name="Shape 5">
          <a:extLst>
            <a:ext uri="{FF2B5EF4-FFF2-40B4-BE49-F238E27FC236}">
              <a16:creationId xmlns:a16="http://schemas.microsoft.com/office/drawing/2014/main" id="{686AFABA-5599-41E2-A56A-0819353BA616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4" name="Shape 5">
          <a:extLst>
            <a:ext uri="{FF2B5EF4-FFF2-40B4-BE49-F238E27FC236}">
              <a16:creationId xmlns:a16="http://schemas.microsoft.com/office/drawing/2014/main" id="{1E7AC273-B706-4EEF-AF67-AB8548DF57CB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5" name="Shape 5">
          <a:extLst>
            <a:ext uri="{FF2B5EF4-FFF2-40B4-BE49-F238E27FC236}">
              <a16:creationId xmlns:a16="http://schemas.microsoft.com/office/drawing/2014/main" id="{D17B48FE-2A74-4C26-8D97-4E54B9EF4F10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6" name="Shape 5">
          <a:extLst>
            <a:ext uri="{FF2B5EF4-FFF2-40B4-BE49-F238E27FC236}">
              <a16:creationId xmlns:a16="http://schemas.microsoft.com/office/drawing/2014/main" id="{909C9AE7-82B0-4CF1-A903-0950A4FE7CA4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7" name="Shape 5">
          <a:extLst>
            <a:ext uri="{FF2B5EF4-FFF2-40B4-BE49-F238E27FC236}">
              <a16:creationId xmlns:a16="http://schemas.microsoft.com/office/drawing/2014/main" id="{21A6304E-E555-4BE4-B9CB-503460AFCFD0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8" name="Shape 5">
          <a:extLst>
            <a:ext uri="{FF2B5EF4-FFF2-40B4-BE49-F238E27FC236}">
              <a16:creationId xmlns:a16="http://schemas.microsoft.com/office/drawing/2014/main" id="{C12F5861-E50A-49C2-89AD-154BC4D8AFC4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69" name="Shape 5">
          <a:extLst>
            <a:ext uri="{FF2B5EF4-FFF2-40B4-BE49-F238E27FC236}">
              <a16:creationId xmlns:a16="http://schemas.microsoft.com/office/drawing/2014/main" id="{424CE73E-E0AB-42BF-94DF-64A10055FA92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70" name="Shape 5">
          <a:extLst>
            <a:ext uri="{FF2B5EF4-FFF2-40B4-BE49-F238E27FC236}">
              <a16:creationId xmlns:a16="http://schemas.microsoft.com/office/drawing/2014/main" id="{74576A0A-29D3-4910-88ED-B9BD5730A693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71" name="Shape 5">
          <a:extLst>
            <a:ext uri="{FF2B5EF4-FFF2-40B4-BE49-F238E27FC236}">
              <a16:creationId xmlns:a16="http://schemas.microsoft.com/office/drawing/2014/main" id="{2E8F2841-0C6A-49E7-ACDF-0314071D07EE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72" name="Shape 5">
          <a:extLst>
            <a:ext uri="{FF2B5EF4-FFF2-40B4-BE49-F238E27FC236}">
              <a16:creationId xmlns:a16="http://schemas.microsoft.com/office/drawing/2014/main" id="{2C9E20EA-2FD7-46E3-8445-614B934D3908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73" name="Shape 5">
          <a:extLst>
            <a:ext uri="{FF2B5EF4-FFF2-40B4-BE49-F238E27FC236}">
              <a16:creationId xmlns:a16="http://schemas.microsoft.com/office/drawing/2014/main" id="{7E598360-3072-45DF-9771-A4261A8CC529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103</xdr:row>
      <xdr:rowOff>0</xdr:rowOff>
    </xdr:from>
    <xdr:ext cx="38100" cy="9525"/>
    <xdr:sp macro="" textlink="">
      <xdr:nvSpPr>
        <xdr:cNvPr id="1874" name="Shape 5">
          <a:extLst>
            <a:ext uri="{FF2B5EF4-FFF2-40B4-BE49-F238E27FC236}">
              <a16:creationId xmlns:a16="http://schemas.microsoft.com/office/drawing/2014/main" id="{348D6BE7-D0DC-4C77-88A3-5D7D63C386A2}"/>
            </a:ext>
          </a:extLst>
        </xdr:cNvPr>
        <xdr:cNvSpPr/>
      </xdr:nvSpPr>
      <xdr:spPr>
        <a:xfrm>
          <a:off x="1514475" y="226028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75" name="Shape 5">
          <a:extLst>
            <a:ext uri="{FF2B5EF4-FFF2-40B4-BE49-F238E27FC236}">
              <a16:creationId xmlns:a16="http://schemas.microsoft.com/office/drawing/2014/main" id="{F7789B85-999B-40A4-9F24-A88A76CFB7E7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76" name="Shape 5">
          <a:extLst>
            <a:ext uri="{FF2B5EF4-FFF2-40B4-BE49-F238E27FC236}">
              <a16:creationId xmlns:a16="http://schemas.microsoft.com/office/drawing/2014/main" id="{75F2A1B1-942B-42DC-A4C4-8102A01446D0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77" name="Shape 5">
          <a:extLst>
            <a:ext uri="{FF2B5EF4-FFF2-40B4-BE49-F238E27FC236}">
              <a16:creationId xmlns:a16="http://schemas.microsoft.com/office/drawing/2014/main" id="{09926942-415C-4BD2-8427-6279B03A2F81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78" name="Shape 5">
          <a:extLst>
            <a:ext uri="{FF2B5EF4-FFF2-40B4-BE49-F238E27FC236}">
              <a16:creationId xmlns:a16="http://schemas.microsoft.com/office/drawing/2014/main" id="{CDA40208-A97C-4A32-AC61-99FF86B731EE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79" name="Shape 5">
          <a:extLst>
            <a:ext uri="{FF2B5EF4-FFF2-40B4-BE49-F238E27FC236}">
              <a16:creationId xmlns:a16="http://schemas.microsoft.com/office/drawing/2014/main" id="{747F747A-A64F-472D-B762-4CE3C811F4AA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80" name="Shape 5">
          <a:extLst>
            <a:ext uri="{FF2B5EF4-FFF2-40B4-BE49-F238E27FC236}">
              <a16:creationId xmlns:a16="http://schemas.microsoft.com/office/drawing/2014/main" id="{612CFCD7-CB64-4618-A733-2C18E8EC6D97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81" name="Shape 6">
          <a:extLst>
            <a:ext uri="{FF2B5EF4-FFF2-40B4-BE49-F238E27FC236}">
              <a16:creationId xmlns:a16="http://schemas.microsoft.com/office/drawing/2014/main" id="{48BFD91C-2B9A-4C67-9B9C-A17FC7E8DD52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82" name="Shape 6">
          <a:extLst>
            <a:ext uri="{FF2B5EF4-FFF2-40B4-BE49-F238E27FC236}">
              <a16:creationId xmlns:a16="http://schemas.microsoft.com/office/drawing/2014/main" id="{88EC0525-17BC-4D3B-A1D6-6024A32602B2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83" name="Shape 6">
          <a:extLst>
            <a:ext uri="{FF2B5EF4-FFF2-40B4-BE49-F238E27FC236}">
              <a16:creationId xmlns:a16="http://schemas.microsoft.com/office/drawing/2014/main" id="{88E56B67-BD4E-4C6C-86E3-25996C8B47D4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84" name="Shape 6">
          <a:extLst>
            <a:ext uri="{FF2B5EF4-FFF2-40B4-BE49-F238E27FC236}">
              <a16:creationId xmlns:a16="http://schemas.microsoft.com/office/drawing/2014/main" id="{0A1C4F96-171E-447F-B744-8B4DFF332918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85" name="Shape 6">
          <a:extLst>
            <a:ext uri="{FF2B5EF4-FFF2-40B4-BE49-F238E27FC236}">
              <a16:creationId xmlns:a16="http://schemas.microsoft.com/office/drawing/2014/main" id="{B3B197E9-37D5-4940-A840-E5C8773A09AC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86" name="Shape 6">
          <a:extLst>
            <a:ext uri="{FF2B5EF4-FFF2-40B4-BE49-F238E27FC236}">
              <a16:creationId xmlns:a16="http://schemas.microsoft.com/office/drawing/2014/main" id="{A7071776-4D2A-4C5D-862B-D7D5FD210919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87" name="Shape 6">
          <a:extLst>
            <a:ext uri="{FF2B5EF4-FFF2-40B4-BE49-F238E27FC236}">
              <a16:creationId xmlns:a16="http://schemas.microsoft.com/office/drawing/2014/main" id="{2745FA05-9029-4ACB-827F-3293A6259B38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88" name="Shape 6">
          <a:extLst>
            <a:ext uri="{FF2B5EF4-FFF2-40B4-BE49-F238E27FC236}">
              <a16:creationId xmlns:a16="http://schemas.microsoft.com/office/drawing/2014/main" id="{99BE039E-65FE-4861-846B-FEE9806A3AAF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89" name="Shape 6">
          <a:extLst>
            <a:ext uri="{FF2B5EF4-FFF2-40B4-BE49-F238E27FC236}">
              <a16:creationId xmlns:a16="http://schemas.microsoft.com/office/drawing/2014/main" id="{2C583930-B727-499F-B306-B62A51B59439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90" name="Shape 5">
          <a:extLst>
            <a:ext uri="{FF2B5EF4-FFF2-40B4-BE49-F238E27FC236}">
              <a16:creationId xmlns:a16="http://schemas.microsoft.com/office/drawing/2014/main" id="{C0681267-B766-414D-B4C6-2B636E982637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91" name="Shape 5">
          <a:extLst>
            <a:ext uri="{FF2B5EF4-FFF2-40B4-BE49-F238E27FC236}">
              <a16:creationId xmlns:a16="http://schemas.microsoft.com/office/drawing/2014/main" id="{2C7192B0-2228-45CA-ACE2-67112AF30A62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92" name="Shape 5">
          <a:extLst>
            <a:ext uri="{FF2B5EF4-FFF2-40B4-BE49-F238E27FC236}">
              <a16:creationId xmlns:a16="http://schemas.microsoft.com/office/drawing/2014/main" id="{E092E426-ECE1-4805-A156-83FC640A8AAD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93" name="Shape 5">
          <a:extLst>
            <a:ext uri="{FF2B5EF4-FFF2-40B4-BE49-F238E27FC236}">
              <a16:creationId xmlns:a16="http://schemas.microsoft.com/office/drawing/2014/main" id="{B949965B-CBEB-46D9-86AE-984F4AD707D3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94" name="Shape 5">
          <a:extLst>
            <a:ext uri="{FF2B5EF4-FFF2-40B4-BE49-F238E27FC236}">
              <a16:creationId xmlns:a16="http://schemas.microsoft.com/office/drawing/2014/main" id="{8675D7D4-603F-4072-84DB-056F63941AC9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95" name="Shape 5">
          <a:extLst>
            <a:ext uri="{FF2B5EF4-FFF2-40B4-BE49-F238E27FC236}">
              <a16:creationId xmlns:a16="http://schemas.microsoft.com/office/drawing/2014/main" id="{79C8FE5E-1E9F-405C-8393-ACCA0B730B8A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96" name="Shape 5">
          <a:extLst>
            <a:ext uri="{FF2B5EF4-FFF2-40B4-BE49-F238E27FC236}">
              <a16:creationId xmlns:a16="http://schemas.microsoft.com/office/drawing/2014/main" id="{D56C20A5-E2C2-4967-90D6-C9D215CA3D8C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897" name="Shape 5">
          <a:extLst>
            <a:ext uri="{FF2B5EF4-FFF2-40B4-BE49-F238E27FC236}">
              <a16:creationId xmlns:a16="http://schemas.microsoft.com/office/drawing/2014/main" id="{592B8C76-F132-4EB4-876A-DD67925F60F4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98" name="Shape 6">
          <a:extLst>
            <a:ext uri="{FF2B5EF4-FFF2-40B4-BE49-F238E27FC236}">
              <a16:creationId xmlns:a16="http://schemas.microsoft.com/office/drawing/2014/main" id="{D8C23729-04E4-4CDE-B6DB-22BF423FC951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899" name="Shape 6">
          <a:extLst>
            <a:ext uri="{FF2B5EF4-FFF2-40B4-BE49-F238E27FC236}">
              <a16:creationId xmlns:a16="http://schemas.microsoft.com/office/drawing/2014/main" id="{C62FA264-CEB5-4910-9B5A-9B130B7DD0C0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900" name="Shape 6">
          <a:extLst>
            <a:ext uri="{FF2B5EF4-FFF2-40B4-BE49-F238E27FC236}">
              <a16:creationId xmlns:a16="http://schemas.microsoft.com/office/drawing/2014/main" id="{5A4FC504-F90C-4D3C-8C30-ABD171FB9B98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901" name="Shape 6">
          <a:extLst>
            <a:ext uri="{FF2B5EF4-FFF2-40B4-BE49-F238E27FC236}">
              <a16:creationId xmlns:a16="http://schemas.microsoft.com/office/drawing/2014/main" id="{8F750504-E064-40CC-938C-447F52CD5275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902" name="Shape 6">
          <a:extLst>
            <a:ext uri="{FF2B5EF4-FFF2-40B4-BE49-F238E27FC236}">
              <a16:creationId xmlns:a16="http://schemas.microsoft.com/office/drawing/2014/main" id="{4A5A78DB-0956-4B21-AD13-89CF9101FB09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903" name="Shape 6">
          <a:extLst>
            <a:ext uri="{FF2B5EF4-FFF2-40B4-BE49-F238E27FC236}">
              <a16:creationId xmlns:a16="http://schemas.microsoft.com/office/drawing/2014/main" id="{DE73680C-A8C8-4258-926F-95E928AF6A90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28575" cy="9525"/>
    <xdr:sp macro="" textlink="">
      <xdr:nvSpPr>
        <xdr:cNvPr id="1904" name="Shape 6">
          <a:extLst>
            <a:ext uri="{FF2B5EF4-FFF2-40B4-BE49-F238E27FC236}">
              <a16:creationId xmlns:a16="http://schemas.microsoft.com/office/drawing/2014/main" id="{73ED78AC-1378-4387-8338-B53C925DF7D8}"/>
            </a:ext>
          </a:extLst>
        </xdr:cNvPr>
        <xdr:cNvSpPr/>
      </xdr:nvSpPr>
      <xdr:spPr>
        <a:xfrm>
          <a:off x="1514475" y="216884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05" name="Shape 6">
          <a:extLst>
            <a:ext uri="{FF2B5EF4-FFF2-40B4-BE49-F238E27FC236}">
              <a16:creationId xmlns:a16="http://schemas.microsoft.com/office/drawing/2014/main" id="{BCF353A1-D34E-4FA0-9DFB-3037395DC0C4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06" name="Shape 6">
          <a:extLst>
            <a:ext uri="{FF2B5EF4-FFF2-40B4-BE49-F238E27FC236}">
              <a16:creationId xmlns:a16="http://schemas.microsoft.com/office/drawing/2014/main" id="{9731C379-F4DF-40DB-919D-22822105A7D0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07" name="Shape 6">
          <a:extLst>
            <a:ext uri="{FF2B5EF4-FFF2-40B4-BE49-F238E27FC236}">
              <a16:creationId xmlns:a16="http://schemas.microsoft.com/office/drawing/2014/main" id="{50216D92-5C92-4BEC-9BE5-87014013AB54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08" name="Shape 6">
          <a:extLst>
            <a:ext uri="{FF2B5EF4-FFF2-40B4-BE49-F238E27FC236}">
              <a16:creationId xmlns:a16="http://schemas.microsoft.com/office/drawing/2014/main" id="{09FA71C0-FB0B-4539-AB27-1AE1FECB1FA0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09" name="Shape 6">
          <a:extLst>
            <a:ext uri="{FF2B5EF4-FFF2-40B4-BE49-F238E27FC236}">
              <a16:creationId xmlns:a16="http://schemas.microsoft.com/office/drawing/2014/main" id="{648135CC-00DA-4426-B020-9BBB70F54DAD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0" name="Shape 5">
          <a:extLst>
            <a:ext uri="{FF2B5EF4-FFF2-40B4-BE49-F238E27FC236}">
              <a16:creationId xmlns:a16="http://schemas.microsoft.com/office/drawing/2014/main" id="{406BB64E-9C68-4667-92D7-2E9A36FFE240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1" name="Shape 5">
          <a:extLst>
            <a:ext uri="{FF2B5EF4-FFF2-40B4-BE49-F238E27FC236}">
              <a16:creationId xmlns:a16="http://schemas.microsoft.com/office/drawing/2014/main" id="{1A86D2E9-94E4-4AD8-ABC4-FA706DB04D85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2" name="Shape 5">
          <a:extLst>
            <a:ext uri="{FF2B5EF4-FFF2-40B4-BE49-F238E27FC236}">
              <a16:creationId xmlns:a16="http://schemas.microsoft.com/office/drawing/2014/main" id="{B5A3475B-143F-4F9C-9564-0BF16C52F5F2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3" name="Shape 5">
          <a:extLst>
            <a:ext uri="{FF2B5EF4-FFF2-40B4-BE49-F238E27FC236}">
              <a16:creationId xmlns:a16="http://schemas.microsoft.com/office/drawing/2014/main" id="{EB7916C7-14AB-4BDD-9DCB-1FA88D166A0F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4" name="Shape 5">
          <a:extLst>
            <a:ext uri="{FF2B5EF4-FFF2-40B4-BE49-F238E27FC236}">
              <a16:creationId xmlns:a16="http://schemas.microsoft.com/office/drawing/2014/main" id="{C253FAB7-5AA5-4904-BFA7-0147380C7284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5" name="Shape 5">
          <a:extLst>
            <a:ext uri="{FF2B5EF4-FFF2-40B4-BE49-F238E27FC236}">
              <a16:creationId xmlns:a16="http://schemas.microsoft.com/office/drawing/2014/main" id="{D8B11AEF-72E4-478D-A78B-6AF05A2D11DF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6" name="Shape 5">
          <a:extLst>
            <a:ext uri="{FF2B5EF4-FFF2-40B4-BE49-F238E27FC236}">
              <a16:creationId xmlns:a16="http://schemas.microsoft.com/office/drawing/2014/main" id="{07A76880-B212-4AF5-A18C-29CBF28130D7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7" name="Shape 5">
          <a:extLst>
            <a:ext uri="{FF2B5EF4-FFF2-40B4-BE49-F238E27FC236}">
              <a16:creationId xmlns:a16="http://schemas.microsoft.com/office/drawing/2014/main" id="{4E8D97DF-36C8-43B0-A591-047388CE28BC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8" name="Shape 5">
          <a:extLst>
            <a:ext uri="{FF2B5EF4-FFF2-40B4-BE49-F238E27FC236}">
              <a16:creationId xmlns:a16="http://schemas.microsoft.com/office/drawing/2014/main" id="{E5CBCAB6-715E-460B-86B7-E8B25FAC3186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19" name="Shape 5">
          <a:extLst>
            <a:ext uri="{FF2B5EF4-FFF2-40B4-BE49-F238E27FC236}">
              <a16:creationId xmlns:a16="http://schemas.microsoft.com/office/drawing/2014/main" id="{EF22719E-B677-4598-8E65-9A9F8B113B00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20" name="Shape 5">
          <a:extLst>
            <a:ext uri="{FF2B5EF4-FFF2-40B4-BE49-F238E27FC236}">
              <a16:creationId xmlns:a16="http://schemas.microsoft.com/office/drawing/2014/main" id="{FC26EDC5-1585-4EA0-86D4-900B7E50C1B6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21" name="Shape 5">
          <a:extLst>
            <a:ext uri="{FF2B5EF4-FFF2-40B4-BE49-F238E27FC236}">
              <a16:creationId xmlns:a16="http://schemas.microsoft.com/office/drawing/2014/main" id="{8E8AA246-369A-4B8D-BA32-86D2246D2F17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22" name="Shape 5">
          <a:extLst>
            <a:ext uri="{FF2B5EF4-FFF2-40B4-BE49-F238E27FC236}">
              <a16:creationId xmlns:a16="http://schemas.microsoft.com/office/drawing/2014/main" id="{6F864205-B9AB-4C5D-8C8F-27A42A91B868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23" name="Shape 5">
          <a:extLst>
            <a:ext uri="{FF2B5EF4-FFF2-40B4-BE49-F238E27FC236}">
              <a16:creationId xmlns:a16="http://schemas.microsoft.com/office/drawing/2014/main" id="{12DA19D2-E0D3-465A-8D2C-EE6A11D34B47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24" name="Shape 5">
          <a:extLst>
            <a:ext uri="{FF2B5EF4-FFF2-40B4-BE49-F238E27FC236}">
              <a16:creationId xmlns:a16="http://schemas.microsoft.com/office/drawing/2014/main" id="{E3A4EC6C-B12C-4B95-A285-6904D133635F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25" name="Shape 5">
          <a:extLst>
            <a:ext uri="{FF2B5EF4-FFF2-40B4-BE49-F238E27FC236}">
              <a16:creationId xmlns:a16="http://schemas.microsoft.com/office/drawing/2014/main" id="{63C7E3FC-B463-40FB-936B-BE6EB9987693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104</xdr:row>
      <xdr:rowOff>0</xdr:rowOff>
    </xdr:from>
    <xdr:ext cx="38100" cy="9525"/>
    <xdr:sp macro="" textlink="">
      <xdr:nvSpPr>
        <xdr:cNvPr id="1926" name="Shape 5">
          <a:extLst>
            <a:ext uri="{FF2B5EF4-FFF2-40B4-BE49-F238E27FC236}">
              <a16:creationId xmlns:a16="http://schemas.microsoft.com/office/drawing/2014/main" id="{BF0B006F-F234-45E1-BA6B-5988993F405A}"/>
            </a:ext>
          </a:extLst>
        </xdr:cNvPr>
        <xdr:cNvSpPr/>
      </xdr:nvSpPr>
      <xdr:spPr>
        <a:xfrm>
          <a:off x="1514475" y="216884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27" name="Shape 5">
          <a:extLst>
            <a:ext uri="{FF2B5EF4-FFF2-40B4-BE49-F238E27FC236}">
              <a16:creationId xmlns:a16="http://schemas.microsoft.com/office/drawing/2014/main" id="{F79995D9-5EBF-45EE-9593-4C12488051A2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28" name="Shape 5">
          <a:extLst>
            <a:ext uri="{FF2B5EF4-FFF2-40B4-BE49-F238E27FC236}">
              <a16:creationId xmlns:a16="http://schemas.microsoft.com/office/drawing/2014/main" id="{C82C1769-6882-4166-95E4-BC27ABE66841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29" name="Shape 5">
          <a:extLst>
            <a:ext uri="{FF2B5EF4-FFF2-40B4-BE49-F238E27FC236}">
              <a16:creationId xmlns:a16="http://schemas.microsoft.com/office/drawing/2014/main" id="{28E131AF-3D5B-4D05-80A6-782865B79E05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30" name="Shape 5">
          <a:extLst>
            <a:ext uri="{FF2B5EF4-FFF2-40B4-BE49-F238E27FC236}">
              <a16:creationId xmlns:a16="http://schemas.microsoft.com/office/drawing/2014/main" id="{FA6C6CA6-0979-453E-8717-108BF4533BF2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31" name="Shape 5">
          <a:extLst>
            <a:ext uri="{FF2B5EF4-FFF2-40B4-BE49-F238E27FC236}">
              <a16:creationId xmlns:a16="http://schemas.microsoft.com/office/drawing/2014/main" id="{6F03EC2F-25D1-4396-B0EC-F654227ABFD2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32" name="Shape 5">
          <a:extLst>
            <a:ext uri="{FF2B5EF4-FFF2-40B4-BE49-F238E27FC236}">
              <a16:creationId xmlns:a16="http://schemas.microsoft.com/office/drawing/2014/main" id="{8BB27D06-9659-4B8D-B4EC-F67C40C33AF9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33" name="Shape 6">
          <a:extLst>
            <a:ext uri="{FF2B5EF4-FFF2-40B4-BE49-F238E27FC236}">
              <a16:creationId xmlns:a16="http://schemas.microsoft.com/office/drawing/2014/main" id="{54FE0EEC-5EBF-48A8-8005-39863D3AAC95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34" name="Shape 6">
          <a:extLst>
            <a:ext uri="{FF2B5EF4-FFF2-40B4-BE49-F238E27FC236}">
              <a16:creationId xmlns:a16="http://schemas.microsoft.com/office/drawing/2014/main" id="{7F87F8DB-0B57-418A-9995-81279C47B70A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35" name="Shape 6">
          <a:extLst>
            <a:ext uri="{FF2B5EF4-FFF2-40B4-BE49-F238E27FC236}">
              <a16:creationId xmlns:a16="http://schemas.microsoft.com/office/drawing/2014/main" id="{3D841F22-A6D3-4DBA-B3EC-AC329E080C5F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36" name="Shape 6">
          <a:extLst>
            <a:ext uri="{FF2B5EF4-FFF2-40B4-BE49-F238E27FC236}">
              <a16:creationId xmlns:a16="http://schemas.microsoft.com/office/drawing/2014/main" id="{545165EF-6DD2-42B1-9BFF-BDBEF7A559E0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37" name="Shape 6">
          <a:extLst>
            <a:ext uri="{FF2B5EF4-FFF2-40B4-BE49-F238E27FC236}">
              <a16:creationId xmlns:a16="http://schemas.microsoft.com/office/drawing/2014/main" id="{A075221D-13D1-4F63-A53B-3F66D9621E8A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38" name="Shape 6">
          <a:extLst>
            <a:ext uri="{FF2B5EF4-FFF2-40B4-BE49-F238E27FC236}">
              <a16:creationId xmlns:a16="http://schemas.microsoft.com/office/drawing/2014/main" id="{8DCEB835-9219-45F0-A7CF-3102E57717FF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39" name="Shape 6">
          <a:extLst>
            <a:ext uri="{FF2B5EF4-FFF2-40B4-BE49-F238E27FC236}">
              <a16:creationId xmlns:a16="http://schemas.microsoft.com/office/drawing/2014/main" id="{8DE775BC-758A-4251-B979-52E83EEE9584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0" name="Shape 6">
          <a:extLst>
            <a:ext uri="{FF2B5EF4-FFF2-40B4-BE49-F238E27FC236}">
              <a16:creationId xmlns:a16="http://schemas.microsoft.com/office/drawing/2014/main" id="{4386224A-1A21-4036-8000-A6D34F2FCB1B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1" name="Shape 6">
          <a:extLst>
            <a:ext uri="{FF2B5EF4-FFF2-40B4-BE49-F238E27FC236}">
              <a16:creationId xmlns:a16="http://schemas.microsoft.com/office/drawing/2014/main" id="{F65A2B97-2291-449F-9ADC-FF5E1F1D5570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2" name="Shape 5">
          <a:extLst>
            <a:ext uri="{FF2B5EF4-FFF2-40B4-BE49-F238E27FC236}">
              <a16:creationId xmlns:a16="http://schemas.microsoft.com/office/drawing/2014/main" id="{B0BB4A9E-D92C-4D15-9F93-0C87ADE018D1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3" name="Shape 5">
          <a:extLst>
            <a:ext uri="{FF2B5EF4-FFF2-40B4-BE49-F238E27FC236}">
              <a16:creationId xmlns:a16="http://schemas.microsoft.com/office/drawing/2014/main" id="{BED65F37-A533-4914-8250-154595432028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4" name="Shape 5">
          <a:extLst>
            <a:ext uri="{FF2B5EF4-FFF2-40B4-BE49-F238E27FC236}">
              <a16:creationId xmlns:a16="http://schemas.microsoft.com/office/drawing/2014/main" id="{8532346E-B705-4C7E-BAC3-1519600B1B7A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5" name="Shape 5">
          <a:extLst>
            <a:ext uri="{FF2B5EF4-FFF2-40B4-BE49-F238E27FC236}">
              <a16:creationId xmlns:a16="http://schemas.microsoft.com/office/drawing/2014/main" id="{5FC3D5E0-3D0E-47E6-B578-04EA487532FA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6" name="Shape 5">
          <a:extLst>
            <a:ext uri="{FF2B5EF4-FFF2-40B4-BE49-F238E27FC236}">
              <a16:creationId xmlns:a16="http://schemas.microsoft.com/office/drawing/2014/main" id="{850DAD26-356E-4094-A7CD-FB052B680EEF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7" name="Shape 5">
          <a:extLst>
            <a:ext uri="{FF2B5EF4-FFF2-40B4-BE49-F238E27FC236}">
              <a16:creationId xmlns:a16="http://schemas.microsoft.com/office/drawing/2014/main" id="{B41D59B1-8C55-4D31-BB76-948B45D7C8EF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8" name="Shape 5">
          <a:extLst>
            <a:ext uri="{FF2B5EF4-FFF2-40B4-BE49-F238E27FC236}">
              <a16:creationId xmlns:a16="http://schemas.microsoft.com/office/drawing/2014/main" id="{AD585556-578D-433A-905B-B1405C6FDF3C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49" name="Shape 5">
          <a:extLst>
            <a:ext uri="{FF2B5EF4-FFF2-40B4-BE49-F238E27FC236}">
              <a16:creationId xmlns:a16="http://schemas.microsoft.com/office/drawing/2014/main" id="{8152167B-BFB8-4BDF-880C-AC2D0E904DD4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50" name="Shape 6">
          <a:extLst>
            <a:ext uri="{FF2B5EF4-FFF2-40B4-BE49-F238E27FC236}">
              <a16:creationId xmlns:a16="http://schemas.microsoft.com/office/drawing/2014/main" id="{77B1DB22-A927-4DBD-9940-3599352CF4F7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51" name="Shape 6">
          <a:extLst>
            <a:ext uri="{FF2B5EF4-FFF2-40B4-BE49-F238E27FC236}">
              <a16:creationId xmlns:a16="http://schemas.microsoft.com/office/drawing/2014/main" id="{56744364-5BAF-4F4D-B88D-6FE242BA15FB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52" name="Shape 6">
          <a:extLst>
            <a:ext uri="{FF2B5EF4-FFF2-40B4-BE49-F238E27FC236}">
              <a16:creationId xmlns:a16="http://schemas.microsoft.com/office/drawing/2014/main" id="{7640E129-73AF-49A6-AF88-364638C69E80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53" name="Shape 6">
          <a:extLst>
            <a:ext uri="{FF2B5EF4-FFF2-40B4-BE49-F238E27FC236}">
              <a16:creationId xmlns:a16="http://schemas.microsoft.com/office/drawing/2014/main" id="{2E2FF7BC-01C7-4F4E-AF77-CDA99214D2F2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54" name="Shape 6">
          <a:extLst>
            <a:ext uri="{FF2B5EF4-FFF2-40B4-BE49-F238E27FC236}">
              <a16:creationId xmlns:a16="http://schemas.microsoft.com/office/drawing/2014/main" id="{377EB795-DC44-41F2-A6E4-1D48F55D8C14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55" name="Shape 6">
          <a:extLst>
            <a:ext uri="{FF2B5EF4-FFF2-40B4-BE49-F238E27FC236}">
              <a16:creationId xmlns:a16="http://schemas.microsoft.com/office/drawing/2014/main" id="{78F571D5-6E74-4A78-817F-A91D7B366688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28575" cy="9525"/>
    <xdr:sp macro="" textlink="">
      <xdr:nvSpPr>
        <xdr:cNvPr id="1956" name="Shape 6">
          <a:extLst>
            <a:ext uri="{FF2B5EF4-FFF2-40B4-BE49-F238E27FC236}">
              <a16:creationId xmlns:a16="http://schemas.microsoft.com/office/drawing/2014/main" id="{AF4259EC-5BFC-4C22-9273-1FF5DE34A622}"/>
            </a:ext>
          </a:extLst>
        </xdr:cNvPr>
        <xdr:cNvSpPr/>
      </xdr:nvSpPr>
      <xdr:spPr>
        <a:xfrm>
          <a:off x="1514475" y="223170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57" name="Shape 6">
          <a:extLst>
            <a:ext uri="{FF2B5EF4-FFF2-40B4-BE49-F238E27FC236}">
              <a16:creationId xmlns:a16="http://schemas.microsoft.com/office/drawing/2014/main" id="{3CB357F1-8847-403D-80AA-1E898FB053D3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58" name="Shape 6">
          <a:extLst>
            <a:ext uri="{FF2B5EF4-FFF2-40B4-BE49-F238E27FC236}">
              <a16:creationId xmlns:a16="http://schemas.microsoft.com/office/drawing/2014/main" id="{4F3450CB-F4B4-49B0-95EA-1E790FBF6928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59" name="Shape 6">
          <a:extLst>
            <a:ext uri="{FF2B5EF4-FFF2-40B4-BE49-F238E27FC236}">
              <a16:creationId xmlns:a16="http://schemas.microsoft.com/office/drawing/2014/main" id="{66A2CA9B-32BD-4F1A-ADE6-AC107399010B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0" name="Shape 6">
          <a:extLst>
            <a:ext uri="{FF2B5EF4-FFF2-40B4-BE49-F238E27FC236}">
              <a16:creationId xmlns:a16="http://schemas.microsoft.com/office/drawing/2014/main" id="{C0FFF539-798D-4117-9481-CDD8BBC83A0B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1" name="Shape 6">
          <a:extLst>
            <a:ext uri="{FF2B5EF4-FFF2-40B4-BE49-F238E27FC236}">
              <a16:creationId xmlns:a16="http://schemas.microsoft.com/office/drawing/2014/main" id="{E717FF89-A1C6-4300-A3EF-78E0D0118FAA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2" name="Shape 5">
          <a:extLst>
            <a:ext uri="{FF2B5EF4-FFF2-40B4-BE49-F238E27FC236}">
              <a16:creationId xmlns:a16="http://schemas.microsoft.com/office/drawing/2014/main" id="{A4F2A6BB-B9C8-49DB-BEBB-C9F5A9344C44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3" name="Shape 5">
          <a:extLst>
            <a:ext uri="{FF2B5EF4-FFF2-40B4-BE49-F238E27FC236}">
              <a16:creationId xmlns:a16="http://schemas.microsoft.com/office/drawing/2014/main" id="{6F3887F0-A897-4573-8667-84A4C0F8B006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4" name="Shape 5">
          <a:extLst>
            <a:ext uri="{FF2B5EF4-FFF2-40B4-BE49-F238E27FC236}">
              <a16:creationId xmlns:a16="http://schemas.microsoft.com/office/drawing/2014/main" id="{0E8469A0-8A3D-4704-B1F3-ECDF89A62C41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5" name="Shape 5">
          <a:extLst>
            <a:ext uri="{FF2B5EF4-FFF2-40B4-BE49-F238E27FC236}">
              <a16:creationId xmlns:a16="http://schemas.microsoft.com/office/drawing/2014/main" id="{9E4AB3B5-ED8F-40ED-AF5A-DB8D9E4A8558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6" name="Shape 5">
          <a:extLst>
            <a:ext uri="{FF2B5EF4-FFF2-40B4-BE49-F238E27FC236}">
              <a16:creationId xmlns:a16="http://schemas.microsoft.com/office/drawing/2014/main" id="{6F2C65C7-F8F6-443B-A2B6-0E0A431403C3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7" name="Shape 5">
          <a:extLst>
            <a:ext uri="{FF2B5EF4-FFF2-40B4-BE49-F238E27FC236}">
              <a16:creationId xmlns:a16="http://schemas.microsoft.com/office/drawing/2014/main" id="{36654B7D-8F3D-48F9-B494-4A28E27C835B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8" name="Shape 5">
          <a:extLst>
            <a:ext uri="{FF2B5EF4-FFF2-40B4-BE49-F238E27FC236}">
              <a16:creationId xmlns:a16="http://schemas.microsoft.com/office/drawing/2014/main" id="{F68F8903-3999-47E8-8736-40D235581D30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69" name="Shape 5">
          <a:extLst>
            <a:ext uri="{FF2B5EF4-FFF2-40B4-BE49-F238E27FC236}">
              <a16:creationId xmlns:a16="http://schemas.microsoft.com/office/drawing/2014/main" id="{5CA49E6D-C507-4EC9-BBB7-34F896A849E5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70" name="Shape 5">
          <a:extLst>
            <a:ext uri="{FF2B5EF4-FFF2-40B4-BE49-F238E27FC236}">
              <a16:creationId xmlns:a16="http://schemas.microsoft.com/office/drawing/2014/main" id="{34BF0C18-DE86-4D57-AE43-A29FCFDCC478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71" name="Shape 5">
          <a:extLst>
            <a:ext uri="{FF2B5EF4-FFF2-40B4-BE49-F238E27FC236}">
              <a16:creationId xmlns:a16="http://schemas.microsoft.com/office/drawing/2014/main" id="{AD6007D1-02CE-4DE0-8EF4-F44DBFA3D901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72" name="Shape 5">
          <a:extLst>
            <a:ext uri="{FF2B5EF4-FFF2-40B4-BE49-F238E27FC236}">
              <a16:creationId xmlns:a16="http://schemas.microsoft.com/office/drawing/2014/main" id="{36F153F4-C22C-4D7E-B31C-4664B2FD9A82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73" name="Shape 5">
          <a:extLst>
            <a:ext uri="{FF2B5EF4-FFF2-40B4-BE49-F238E27FC236}">
              <a16:creationId xmlns:a16="http://schemas.microsoft.com/office/drawing/2014/main" id="{23DD2EEB-DEF4-4559-A086-BAFB291C7112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74" name="Shape 5">
          <a:extLst>
            <a:ext uri="{FF2B5EF4-FFF2-40B4-BE49-F238E27FC236}">
              <a16:creationId xmlns:a16="http://schemas.microsoft.com/office/drawing/2014/main" id="{04450A47-5BA7-4CB4-B89D-9F49FC24D272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75" name="Shape 5">
          <a:extLst>
            <a:ext uri="{FF2B5EF4-FFF2-40B4-BE49-F238E27FC236}">
              <a16:creationId xmlns:a16="http://schemas.microsoft.com/office/drawing/2014/main" id="{854E2BAD-FB6D-4ED0-B122-A0C130493A41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76" name="Shape 5">
          <a:extLst>
            <a:ext uri="{FF2B5EF4-FFF2-40B4-BE49-F238E27FC236}">
              <a16:creationId xmlns:a16="http://schemas.microsoft.com/office/drawing/2014/main" id="{9CD0D1A6-1FEE-4F11-BDE5-BDE6924E4B0D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77" name="Shape 5">
          <a:extLst>
            <a:ext uri="{FF2B5EF4-FFF2-40B4-BE49-F238E27FC236}">
              <a16:creationId xmlns:a16="http://schemas.microsoft.com/office/drawing/2014/main" id="{C2966407-A3F5-4E4D-BBFF-0D36ABD3B854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105</xdr:row>
      <xdr:rowOff>0</xdr:rowOff>
    </xdr:from>
    <xdr:ext cx="38100" cy="9525"/>
    <xdr:sp macro="" textlink="">
      <xdr:nvSpPr>
        <xdr:cNvPr id="1978" name="Shape 5">
          <a:extLst>
            <a:ext uri="{FF2B5EF4-FFF2-40B4-BE49-F238E27FC236}">
              <a16:creationId xmlns:a16="http://schemas.microsoft.com/office/drawing/2014/main" id="{212621D0-9BF0-4ACE-8DFA-71CEA28DC401}"/>
            </a:ext>
          </a:extLst>
        </xdr:cNvPr>
        <xdr:cNvSpPr/>
      </xdr:nvSpPr>
      <xdr:spPr>
        <a:xfrm>
          <a:off x="1514475" y="223170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979" name="Shape 5">
          <a:extLst>
            <a:ext uri="{FF2B5EF4-FFF2-40B4-BE49-F238E27FC236}">
              <a16:creationId xmlns:a16="http://schemas.microsoft.com/office/drawing/2014/main" id="{D2CE116D-9916-4040-A66A-17D77652C911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980" name="Shape 5">
          <a:extLst>
            <a:ext uri="{FF2B5EF4-FFF2-40B4-BE49-F238E27FC236}">
              <a16:creationId xmlns:a16="http://schemas.microsoft.com/office/drawing/2014/main" id="{9664A852-4B9D-4681-A46D-BD1447B072AD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981" name="Shape 5">
          <a:extLst>
            <a:ext uri="{FF2B5EF4-FFF2-40B4-BE49-F238E27FC236}">
              <a16:creationId xmlns:a16="http://schemas.microsoft.com/office/drawing/2014/main" id="{2CA520AB-2B45-41B6-B1D6-D941FB13EF97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982" name="Shape 5">
          <a:extLst>
            <a:ext uri="{FF2B5EF4-FFF2-40B4-BE49-F238E27FC236}">
              <a16:creationId xmlns:a16="http://schemas.microsoft.com/office/drawing/2014/main" id="{6B035644-F52D-4511-9F07-D76FCE2EEBD8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983" name="Shape 5">
          <a:extLst>
            <a:ext uri="{FF2B5EF4-FFF2-40B4-BE49-F238E27FC236}">
              <a16:creationId xmlns:a16="http://schemas.microsoft.com/office/drawing/2014/main" id="{7260B183-ECEA-4530-8C4F-950596F406A2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984" name="Shape 5">
          <a:extLst>
            <a:ext uri="{FF2B5EF4-FFF2-40B4-BE49-F238E27FC236}">
              <a16:creationId xmlns:a16="http://schemas.microsoft.com/office/drawing/2014/main" id="{5A5C7796-4C95-4EF5-B5F9-D3C7856770D4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985" name="Shape 6">
          <a:extLst>
            <a:ext uri="{FF2B5EF4-FFF2-40B4-BE49-F238E27FC236}">
              <a16:creationId xmlns:a16="http://schemas.microsoft.com/office/drawing/2014/main" id="{34B31AB1-D334-4009-BCB1-81085BEC81F2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986" name="Shape 6">
          <a:extLst>
            <a:ext uri="{FF2B5EF4-FFF2-40B4-BE49-F238E27FC236}">
              <a16:creationId xmlns:a16="http://schemas.microsoft.com/office/drawing/2014/main" id="{3B9E9471-3226-45DD-B828-7CD1801926B6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87" name="Shape 6">
          <a:extLst>
            <a:ext uri="{FF2B5EF4-FFF2-40B4-BE49-F238E27FC236}">
              <a16:creationId xmlns:a16="http://schemas.microsoft.com/office/drawing/2014/main" id="{6EE1B335-61C2-4264-ACF7-21E3A3B6C481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1988" name="Shape 6">
          <a:extLst>
            <a:ext uri="{FF2B5EF4-FFF2-40B4-BE49-F238E27FC236}">
              <a16:creationId xmlns:a16="http://schemas.microsoft.com/office/drawing/2014/main" id="{7DBB5B9E-1503-4E05-8B57-CE5F810D3AA6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89" name="Shape 6">
          <a:extLst>
            <a:ext uri="{FF2B5EF4-FFF2-40B4-BE49-F238E27FC236}">
              <a16:creationId xmlns:a16="http://schemas.microsoft.com/office/drawing/2014/main" id="{AC404BDE-4D3D-4B6C-A785-83DC5540631A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0" name="Shape 6">
          <a:extLst>
            <a:ext uri="{FF2B5EF4-FFF2-40B4-BE49-F238E27FC236}">
              <a16:creationId xmlns:a16="http://schemas.microsoft.com/office/drawing/2014/main" id="{6351613E-A93C-4D3A-9893-B35D62B087D3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1" name="Shape 6">
          <a:extLst>
            <a:ext uri="{FF2B5EF4-FFF2-40B4-BE49-F238E27FC236}">
              <a16:creationId xmlns:a16="http://schemas.microsoft.com/office/drawing/2014/main" id="{3944ABE9-C6AF-46CE-820B-F22C2582738A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2" name="Shape 6">
          <a:extLst>
            <a:ext uri="{FF2B5EF4-FFF2-40B4-BE49-F238E27FC236}">
              <a16:creationId xmlns:a16="http://schemas.microsoft.com/office/drawing/2014/main" id="{4168B00D-3EA0-4DAF-AC93-C2E0C2F99F60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3" name="Shape 6">
          <a:extLst>
            <a:ext uri="{FF2B5EF4-FFF2-40B4-BE49-F238E27FC236}">
              <a16:creationId xmlns:a16="http://schemas.microsoft.com/office/drawing/2014/main" id="{0BC81551-1C93-45DC-BE79-13F7CCBB60D0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4" name="Shape 5">
          <a:extLst>
            <a:ext uri="{FF2B5EF4-FFF2-40B4-BE49-F238E27FC236}">
              <a16:creationId xmlns:a16="http://schemas.microsoft.com/office/drawing/2014/main" id="{3DEB9FED-D589-4BB0-A766-989C17D692D8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5" name="Shape 5">
          <a:extLst>
            <a:ext uri="{FF2B5EF4-FFF2-40B4-BE49-F238E27FC236}">
              <a16:creationId xmlns:a16="http://schemas.microsoft.com/office/drawing/2014/main" id="{AFA0564D-3BA9-4B54-8795-E139A18D78F0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6" name="Shape 5">
          <a:extLst>
            <a:ext uri="{FF2B5EF4-FFF2-40B4-BE49-F238E27FC236}">
              <a16:creationId xmlns:a16="http://schemas.microsoft.com/office/drawing/2014/main" id="{955F0485-0554-42E2-A8D2-F389671E5013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7" name="Shape 5">
          <a:extLst>
            <a:ext uri="{FF2B5EF4-FFF2-40B4-BE49-F238E27FC236}">
              <a16:creationId xmlns:a16="http://schemas.microsoft.com/office/drawing/2014/main" id="{ED8B5949-ED57-43EC-BBD5-93F5FD5B3FC3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8" name="Shape 5">
          <a:extLst>
            <a:ext uri="{FF2B5EF4-FFF2-40B4-BE49-F238E27FC236}">
              <a16:creationId xmlns:a16="http://schemas.microsoft.com/office/drawing/2014/main" id="{010F073C-456D-47F7-B7FA-E591B2E8F780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1999" name="Shape 5">
          <a:extLst>
            <a:ext uri="{FF2B5EF4-FFF2-40B4-BE49-F238E27FC236}">
              <a16:creationId xmlns:a16="http://schemas.microsoft.com/office/drawing/2014/main" id="{B1FB7ED5-E120-47B6-8061-ED7F9CAD2EE1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00" name="Shape 5">
          <a:extLst>
            <a:ext uri="{FF2B5EF4-FFF2-40B4-BE49-F238E27FC236}">
              <a16:creationId xmlns:a16="http://schemas.microsoft.com/office/drawing/2014/main" id="{212F9FD4-7728-493B-8284-694B93B18BAC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01" name="Shape 5">
          <a:extLst>
            <a:ext uri="{FF2B5EF4-FFF2-40B4-BE49-F238E27FC236}">
              <a16:creationId xmlns:a16="http://schemas.microsoft.com/office/drawing/2014/main" id="{72525B89-A0E6-48FB-BCEE-DEE4A2509A85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2002" name="Shape 6">
          <a:extLst>
            <a:ext uri="{FF2B5EF4-FFF2-40B4-BE49-F238E27FC236}">
              <a16:creationId xmlns:a16="http://schemas.microsoft.com/office/drawing/2014/main" id="{3F925E4F-12F6-41D8-AE6A-A5D1F60BC9A0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2003" name="Shape 6">
          <a:extLst>
            <a:ext uri="{FF2B5EF4-FFF2-40B4-BE49-F238E27FC236}">
              <a16:creationId xmlns:a16="http://schemas.microsoft.com/office/drawing/2014/main" id="{5B563BFD-6344-47DD-8A79-4AC141993074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2004" name="Shape 6">
          <a:extLst>
            <a:ext uri="{FF2B5EF4-FFF2-40B4-BE49-F238E27FC236}">
              <a16:creationId xmlns:a16="http://schemas.microsoft.com/office/drawing/2014/main" id="{A364B9A0-3C9F-4603-92F4-084830174001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2005" name="Shape 6">
          <a:extLst>
            <a:ext uri="{FF2B5EF4-FFF2-40B4-BE49-F238E27FC236}">
              <a16:creationId xmlns:a16="http://schemas.microsoft.com/office/drawing/2014/main" id="{E1D238AC-3CE1-4B9D-A969-2E8D5AA5DC9B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2006" name="Shape 6">
          <a:extLst>
            <a:ext uri="{FF2B5EF4-FFF2-40B4-BE49-F238E27FC236}">
              <a16:creationId xmlns:a16="http://schemas.microsoft.com/office/drawing/2014/main" id="{12383D5D-3800-44E9-B798-D96674143C11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2007" name="Shape 6">
          <a:extLst>
            <a:ext uri="{FF2B5EF4-FFF2-40B4-BE49-F238E27FC236}">
              <a16:creationId xmlns:a16="http://schemas.microsoft.com/office/drawing/2014/main" id="{2CEFE20F-DE52-472F-9206-E3A62100FB77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28575" cy="9525"/>
    <xdr:sp macro="" textlink="">
      <xdr:nvSpPr>
        <xdr:cNvPr id="2008" name="Shape 6">
          <a:extLst>
            <a:ext uri="{FF2B5EF4-FFF2-40B4-BE49-F238E27FC236}">
              <a16:creationId xmlns:a16="http://schemas.microsoft.com/office/drawing/2014/main" id="{CDDB97CA-BC00-4EEC-90FE-B18E2E8F327A}"/>
            </a:ext>
          </a:extLst>
        </xdr:cNvPr>
        <xdr:cNvSpPr/>
      </xdr:nvSpPr>
      <xdr:spPr>
        <a:xfrm>
          <a:off x="1514475" y="255365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09" name="Shape 6">
          <a:extLst>
            <a:ext uri="{FF2B5EF4-FFF2-40B4-BE49-F238E27FC236}">
              <a16:creationId xmlns:a16="http://schemas.microsoft.com/office/drawing/2014/main" id="{B9943ADB-6848-4672-B7A2-F713CC5C15E8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0" name="Shape 6">
          <a:extLst>
            <a:ext uri="{FF2B5EF4-FFF2-40B4-BE49-F238E27FC236}">
              <a16:creationId xmlns:a16="http://schemas.microsoft.com/office/drawing/2014/main" id="{5C9E7033-3222-4A81-A978-E4E2FC491334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1" name="Shape 6">
          <a:extLst>
            <a:ext uri="{FF2B5EF4-FFF2-40B4-BE49-F238E27FC236}">
              <a16:creationId xmlns:a16="http://schemas.microsoft.com/office/drawing/2014/main" id="{F5EC17C6-C330-4E32-AB6C-A93EE49B67D1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2" name="Shape 6">
          <a:extLst>
            <a:ext uri="{FF2B5EF4-FFF2-40B4-BE49-F238E27FC236}">
              <a16:creationId xmlns:a16="http://schemas.microsoft.com/office/drawing/2014/main" id="{B3E89D14-661B-4C02-B390-6067B77CD301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3" name="Shape 6">
          <a:extLst>
            <a:ext uri="{FF2B5EF4-FFF2-40B4-BE49-F238E27FC236}">
              <a16:creationId xmlns:a16="http://schemas.microsoft.com/office/drawing/2014/main" id="{CB2CD90A-E170-4F23-9BC8-01E1B0A14253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4" name="Shape 5">
          <a:extLst>
            <a:ext uri="{FF2B5EF4-FFF2-40B4-BE49-F238E27FC236}">
              <a16:creationId xmlns:a16="http://schemas.microsoft.com/office/drawing/2014/main" id="{BB3165B0-7C3B-4C76-AF4A-7BF4CB6852AD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5" name="Shape 5">
          <a:extLst>
            <a:ext uri="{FF2B5EF4-FFF2-40B4-BE49-F238E27FC236}">
              <a16:creationId xmlns:a16="http://schemas.microsoft.com/office/drawing/2014/main" id="{86C7918B-3E2C-4B51-A2A0-AD9F31A70DA6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6" name="Shape 5">
          <a:extLst>
            <a:ext uri="{FF2B5EF4-FFF2-40B4-BE49-F238E27FC236}">
              <a16:creationId xmlns:a16="http://schemas.microsoft.com/office/drawing/2014/main" id="{A2F4F454-F2A4-4140-8FC7-6775B9A97BDD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7" name="Shape 5">
          <a:extLst>
            <a:ext uri="{FF2B5EF4-FFF2-40B4-BE49-F238E27FC236}">
              <a16:creationId xmlns:a16="http://schemas.microsoft.com/office/drawing/2014/main" id="{949B4EF0-58B1-4805-882D-AACFA4C5907C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8" name="Shape 5">
          <a:extLst>
            <a:ext uri="{FF2B5EF4-FFF2-40B4-BE49-F238E27FC236}">
              <a16:creationId xmlns:a16="http://schemas.microsoft.com/office/drawing/2014/main" id="{58850506-8A7B-4981-B15C-3044DEBF2324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19" name="Shape 5">
          <a:extLst>
            <a:ext uri="{FF2B5EF4-FFF2-40B4-BE49-F238E27FC236}">
              <a16:creationId xmlns:a16="http://schemas.microsoft.com/office/drawing/2014/main" id="{6613C499-315D-4011-BFCE-383AF694EB52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0" name="Shape 5">
          <a:extLst>
            <a:ext uri="{FF2B5EF4-FFF2-40B4-BE49-F238E27FC236}">
              <a16:creationId xmlns:a16="http://schemas.microsoft.com/office/drawing/2014/main" id="{3AD6D532-3F12-4227-8C20-0C5528066FA6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1" name="Shape 5">
          <a:extLst>
            <a:ext uri="{FF2B5EF4-FFF2-40B4-BE49-F238E27FC236}">
              <a16:creationId xmlns:a16="http://schemas.microsoft.com/office/drawing/2014/main" id="{052C6FE3-B735-421F-BD18-5CC5DDCAE8D9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2" name="Shape 5">
          <a:extLst>
            <a:ext uri="{FF2B5EF4-FFF2-40B4-BE49-F238E27FC236}">
              <a16:creationId xmlns:a16="http://schemas.microsoft.com/office/drawing/2014/main" id="{6D9E2217-95CF-471E-BAE4-26F987C0F2AC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3" name="Shape 5">
          <a:extLst>
            <a:ext uri="{FF2B5EF4-FFF2-40B4-BE49-F238E27FC236}">
              <a16:creationId xmlns:a16="http://schemas.microsoft.com/office/drawing/2014/main" id="{3F6A858E-0C33-42F2-A547-FEBD51EADAA8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4" name="Shape 5">
          <a:extLst>
            <a:ext uri="{FF2B5EF4-FFF2-40B4-BE49-F238E27FC236}">
              <a16:creationId xmlns:a16="http://schemas.microsoft.com/office/drawing/2014/main" id="{D74CB22B-B0CE-4A5C-A176-AB561E958BD0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5" name="Shape 5">
          <a:extLst>
            <a:ext uri="{FF2B5EF4-FFF2-40B4-BE49-F238E27FC236}">
              <a16:creationId xmlns:a16="http://schemas.microsoft.com/office/drawing/2014/main" id="{EF8FD368-C5D8-48FB-8F1C-BCF02D078DDC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6" name="Shape 5">
          <a:extLst>
            <a:ext uri="{FF2B5EF4-FFF2-40B4-BE49-F238E27FC236}">
              <a16:creationId xmlns:a16="http://schemas.microsoft.com/office/drawing/2014/main" id="{BE29B424-F459-464A-8277-7586B10507CA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7" name="Shape 5">
          <a:extLst>
            <a:ext uri="{FF2B5EF4-FFF2-40B4-BE49-F238E27FC236}">
              <a16:creationId xmlns:a16="http://schemas.microsoft.com/office/drawing/2014/main" id="{BEA8A504-A191-46F5-BCB7-60B0A32A6CDB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8" name="Shape 5">
          <a:extLst>
            <a:ext uri="{FF2B5EF4-FFF2-40B4-BE49-F238E27FC236}">
              <a16:creationId xmlns:a16="http://schemas.microsoft.com/office/drawing/2014/main" id="{8E5519C6-8078-47DD-8705-7186FDA4DCFD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29" name="Shape 5">
          <a:extLst>
            <a:ext uri="{FF2B5EF4-FFF2-40B4-BE49-F238E27FC236}">
              <a16:creationId xmlns:a16="http://schemas.microsoft.com/office/drawing/2014/main" id="{3EBC8FF4-EAE8-4996-A1C1-5C67E72A9B51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121</xdr:row>
      <xdr:rowOff>0</xdr:rowOff>
    </xdr:from>
    <xdr:ext cx="38100" cy="9525"/>
    <xdr:sp macro="" textlink="">
      <xdr:nvSpPr>
        <xdr:cNvPr id="2030" name="Shape 5">
          <a:extLst>
            <a:ext uri="{FF2B5EF4-FFF2-40B4-BE49-F238E27FC236}">
              <a16:creationId xmlns:a16="http://schemas.microsoft.com/office/drawing/2014/main" id="{38B76ED0-C9DF-4A06-8B49-432B4DCD80F8}"/>
            </a:ext>
          </a:extLst>
        </xdr:cNvPr>
        <xdr:cNvSpPr/>
      </xdr:nvSpPr>
      <xdr:spPr>
        <a:xfrm>
          <a:off x="1514475" y="255365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31" name="Shape 5">
          <a:extLst>
            <a:ext uri="{FF2B5EF4-FFF2-40B4-BE49-F238E27FC236}">
              <a16:creationId xmlns:a16="http://schemas.microsoft.com/office/drawing/2014/main" id="{6BAB968F-ACF9-4C03-AF5A-5D2C1813C5F4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32" name="Shape 5">
          <a:extLst>
            <a:ext uri="{FF2B5EF4-FFF2-40B4-BE49-F238E27FC236}">
              <a16:creationId xmlns:a16="http://schemas.microsoft.com/office/drawing/2014/main" id="{E5884295-0377-447C-AC54-D57091785898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33" name="Shape 5">
          <a:extLst>
            <a:ext uri="{FF2B5EF4-FFF2-40B4-BE49-F238E27FC236}">
              <a16:creationId xmlns:a16="http://schemas.microsoft.com/office/drawing/2014/main" id="{B2ED72A9-C469-481C-A2F0-6921870DF89B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34" name="Shape 5">
          <a:extLst>
            <a:ext uri="{FF2B5EF4-FFF2-40B4-BE49-F238E27FC236}">
              <a16:creationId xmlns:a16="http://schemas.microsoft.com/office/drawing/2014/main" id="{FDEB17AF-6B34-4D33-BADC-7565C2F6C886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35" name="Shape 5">
          <a:extLst>
            <a:ext uri="{FF2B5EF4-FFF2-40B4-BE49-F238E27FC236}">
              <a16:creationId xmlns:a16="http://schemas.microsoft.com/office/drawing/2014/main" id="{44DA5785-76B9-49ED-A578-57495D156CB7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36" name="Shape 5">
          <a:extLst>
            <a:ext uri="{FF2B5EF4-FFF2-40B4-BE49-F238E27FC236}">
              <a16:creationId xmlns:a16="http://schemas.microsoft.com/office/drawing/2014/main" id="{41164512-80E2-461B-A58E-00913337A360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37" name="Shape 6">
          <a:extLst>
            <a:ext uri="{FF2B5EF4-FFF2-40B4-BE49-F238E27FC236}">
              <a16:creationId xmlns:a16="http://schemas.microsoft.com/office/drawing/2014/main" id="{DE8A8E80-2F88-4360-852F-9E1A462B7869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38" name="Shape 6">
          <a:extLst>
            <a:ext uri="{FF2B5EF4-FFF2-40B4-BE49-F238E27FC236}">
              <a16:creationId xmlns:a16="http://schemas.microsoft.com/office/drawing/2014/main" id="{6C168596-1187-44DE-B245-A491B71D0E7C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39" name="Shape 6">
          <a:extLst>
            <a:ext uri="{FF2B5EF4-FFF2-40B4-BE49-F238E27FC236}">
              <a16:creationId xmlns:a16="http://schemas.microsoft.com/office/drawing/2014/main" id="{1B958D56-19F4-4263-B9C8-7C715A4CFF0A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40" name="Shape 6">
          <a:extLst>
            <a:ext uri="{FF2B5EF4-FFF2-40B4-BE49-F238E27FC236}">
              <a16:creationId xmlns:a16="http://schemas.microsoft.com/office/drawing/2014/main" id="{47927F5A-D679-4C52-9CAF-20AE1B94C1FB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41" name="Shape 6">
          <a:extLst>
            <a:ext uri="{FF2B5EF4-FFF2-40B4-BE49-F238E27FC236}">
              <a16:creationId xmlns:a16="http://schemas.microsoft.com/office/drawing/2014/main" id="{DFBDE15B-E5A5-4462-BC21-6BF6A3DD94AB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42" name="Shape 6">
          <a:extLst>
            <a:ext uri="{FF2B5EF4-FFF2-40B4-BE49-F238E27FC236}">
              <a16:creationId xmlns:a16="http://schemas.microsoft.com/office/drawing/2014/main" id="{80F8B91A-CCF8-4D21-BB02-1785AA63C5DA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43" name="Shape 6">
          <a:extLst>
            <a:ext uri="{FF2B5EF4-FFF2-40B4-BE49-F238E27FC236}">
              <a16:creationId xmlns:a16="http://schemas.microsoft.com/office/drawing/2014/main" id="{5BB381F8-DDF8-4EF9-BF3C-4C672349F202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44" name="Shape 6">
          <a:extLst>
            <a:ext uri="{FF2B5EF4-FFF2-40B4-BE49-F238E27FC236}">
              <a16:creationId xmlns:a16="http://schemas.microsoft.com/office/drawing/2014/main" id="{212F9C63-8A2A-4385-A2DA-7230CCF6F1F3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45" name="Shape 6">
          <a:extLst>
            <a:ext uri="{FF2B5EF4-FFF2-40B4-BE49-F238E27FC236}">
              <a16:creationId xmlns:a16="http://schemas.microsoft.com/office/drawing/2014/main" id="{9F5095E6-4157-4D74-8B04-C6F512BDB2BC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46" name="Shape 5">
          <a:extLst>
            <a:ext uri="{FF2B5EF4-FFF2-40B4-BE49-F238E27FC236}">
              <a16:creationId xmlns:a16="http://schemas.microsoft.com/office/drawing/2014/main" id="{923B7F49-E95E-4780-A373-345AEFBB9EC5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47" name="Shape 5">
          <a:extLst>
            <a:ext uri="{FF2B5EF4-FFF2-40B4-BE49-F238E27FC236}">
              <a16:creationId xmlns:a16="http://schemas.microsoft.com/office/drawing/2014/main" id="{29C9E4ED-808C-43C3-AF00-ACA13312D913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48" name="Shape 5">
          <a:extLst>
            <a:ext uri="{FF2B5EF4-FFF2-40B4-BE49-F238E27FC236}">
              <a16:creationId xmlns:a16="http://schemas.microsoft.com/office/drawing/2014/main" id="{18CEABEC-E770-4E67-A347-D91535356738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49" name="Shape 5">
          <a:extLst>
            <a:ext uri="{FF2B5EF4-FFF2-40B4-BE49-F238E27FC236}">
              <a16:creationId xmlns:a16="http://schemas.microsoft.com/office/drawing/2014/main" id="{31239AA9-D05E-4E93-8486-1B63422BBFF3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50" name="Shape 5">
          <a:extLst>
            <a:ext uri="{FF2B5EF4-FFF2-40B4-BE49-F238E27FC236}">
              <a16:creationId xmlns:a16="http://schemas.microsoft.com/office/drawing/2014/main" id="{A48D4644-1D1D-496C-ADAF-90A4B57DE30B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51" name="Shape 5">
          <a:extLst>
            <a:ext uri="{FF2B5EF4-FFF2-40B4-BE49-F238E27FC236}">
              <a16:creationId xmlns:a16="http://schemas.microsoft.com/office/drawing/2014/main" id="{18A81F18-4462-41E4-BF57-8DB807BFCB9E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52" name="Shape 5">
          <a:extLst>
            <a:ext uri="{FF2B5EF4-FFF2-40B4-BE49-F238E27FC236}">
              <a16:creationId xmlns:a16="http://schemas.microsoft.com/office/drawing/2014/main" id="{1C2B3CD8-9D1D-4BDB-81BC-7B6A1263D6EC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53" name="Shape 5">
          <a:extLst>
            <a:ext uri="{FF2B5EF4-FFF2-40B4-BE49-F238E27FC236}">
              <a16:creationId xmlns:a16="http://schemas.microsoft.com/office/drawing/2014/main" id="{019A2838-3A1F-4065-B566-612B738649E0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54" name="Shape 6">
          <a:extLst>
            <a:ext uri="{FF2B5EF4-FFF2-40B4-BE49-F238E27FC236}">
              <a16:creationId xmlns:a16="http://schemas.microsoft.com/office/drawing/2014/main" id="{E0E3135C-F577-4938-ACAD-CB7499489029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55" name="Shape 6">
          <a:extLst>
            <a:ext uri="{FF2B5EF4-FFF2-40B4-BE49-F238E27FC236}">
              <a16:creationId xmlns:a16="http://schemas.microsoft.com/office/drawing/2014/main" id="{39F64147-39EA-4EFD-B6BD-94B7C91A9DF5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56" name="Shape 6">
          <a:extLst>
            <a:ext uri="{FF2B5EF4-FFF2-40B4-BE49-F238E27FC236}">
              <a16:creationId xmlns:a16="http://schemas.microsoft.com/office/drawing/2014/main" id="{947A483D-33C1-4605-BF6B-22ED40FDA1D1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57" name="Shape 6">
          <a:extLst>
            <a:ext uri="{FF2B5EF4-FFF2-40B4-BE49-F238E27FC236}">
              <a16:creationId xmlns:a16="http://schemas.microsoft.com/office/drawing/2014/main" id="{74F586C5-DBF2-4E7F-A6DA-B40FD7C32278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58" name="Shape 6">
          <a:extLst>
            <a:ext uri="{FF2B5EF4-FFF2-40B4-BE49-F238E27FC236}">
              <a16:creationId xmlns:a16="http://schemas.microsoft.com/office/drawing/2014/main" id="{1FC8D661-EEDA-462E-BD5F-A72C4F4CDB06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59" name="Shape 6">
          <a:extLst>
            <a:ext uri="{FF2B5EF4-FFF2-40B4-BE49-F238E27FC236}">
              <a16:creationId xmlns:a16="http://schemas.microsoft.com/office/drawing/2014/main" id="{ADF9D2C4-0A71-479E-9ACD-A2A1948CD758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28575" cy="9525"/>
    <xdr:sp macro="" textlink="">
      <xdr:nvSpPr>
        <xdr:cNvPr id="2060" name="Shape 6">
          <a:extLst>
            <a:ext uri="{FF2B5EF4-FFF2-40B4-BE49-F238E27FC236}">
              <a16:creationId xmlns:a16="http://schemas.microsoft.com/office/drawing/2014/main" id="{79010B71-1AC1-4335-89FD-37E66F2ECF81}"/>
            </a:ext>
          </a:extLst>
        </xdr:cNvPr>
        <xdr:cNvSpPr/>
      </xdr:nvSpPr>
      <xdr:spPr>
        <a:xfrm>
          <a:off x="1514475" y="2875597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61" name="Shape 6">
          <a:extLst>
            <a:ext uri="{FF2B5EF4-FFF2-40B4-BE49-F238E27FC236}">
              <a16:creationId xmlns:a16="http://schemas.microsoft.com/office/drawing/2014/main" id="{25B924D1-A1A4-458B-AF92-A1D70475DB3F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62" name="Shape 6">
          <a:extLst>
            <a:ext uri="{FF2B5EF4-FFF2-40B4-BE49-F238E27FC236}">
              <a16:creationId xmlns:a16="http://schemas.microsoft.com/office/drawing/2014/main" id="{82A9FEC6-8C13-4308-9FB4-33593CCE961A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63" name="Shape 6">
          <a:extLst>
            <a:ext uri="{FF2B5EF4-FFF2-40B4-BE49-F238E27FC236}">
              <a16:creationId xmlns:a16="http://schemas.microsoft.com/office/drawing/2014/main" id="{35B7551A-2558-48C2-AC35-625182C2DA99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64" name="Shape 6">
          <a:extLst>
            <a:ext uri="{FF2B5EF4-FFF2-40B4-BE49-F238E27FC236}">
              <a16:creationId xmlns:a16="http://schemas.microsoft.com/office/drawing/2014/main" id="{BCA4FCFB-FDDA-47D8-9AC0-6F5DB1D4FB76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65" name="Shape 6">
          <a:extLst>
            <a:ext uri="{FF2B5EF4-FFF2-40B4-BE49-F238E27FC236}">
              <a16:creationId xmlns:a16="http://schemas.microsoft.com/office/drawing/2014/main" id="{13F9AE46-A713-4CD3-A759-B55F54E24DC8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66" name="Shape 5">
          <a:extLst>
            <a:ext uri="{FF2B5EF4-FFF2-40B4-BE49-F238E27FC236}">
              <a16:creationId xmlns:a16="http://schemas.microsoft.com/office/drawing/2014/main" id="{865BA0B5-6945-4F34-BBE0-62E9599A6B9C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67" name="Shape 5">
          <a:extLst>
            <a:ext uri="{FF2B5EF4-FFF2-40B4-BE49-F238E27FC236}">
              <a16:creationId xmlns:a16="http://schemas.microsoft.com/office/drawing/2014/main" id="{94A73942-81E8-419E-A0D6-803BDF297AC3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68" name="Shape 5">
          <a:extLst>
            <a:ext uri="{FF2B5EF4-FFF2-40B4-BE49-F238E27FC236}">
              <a16:creationId xmlns:a16="http://schemas.microsoft.com/office/drawing/2014/main" id="{F1DAAABB-9E8F-4D70-81DB-7F91F9AEB8E5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69" name="Shape 5">
          <a:extLst>
            <a:ext uri="{FF2B5EF4-FFF2-40B4-BE49-F238E27FC236}">
              <a16:creationId xmlns:a16="http://schemas.microsoft.com/office/drawing/2014/main" id="{7430A39C-7846-4642-894E-FC3E3B76A395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0" name="Shape 5">
          <a:extLst>
            <a:ext uri="{FF2B5EF4-FFF2-40B4-BE49-F238E27FC236}">
              <a16:creationId xmlns:a16="http://schemas.microsoft.com/office/drawing/2014/main" id="{479B5981-AC46-4E4C-9CD6-243CD0ADE75F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1" name="Shape 5">
          <a:extLst>
            <a:ext uri="{FF2B5EF4-FFF2-40B4-BE49-F238E27FC236}">
              <a16:creationId xmlns:a16="http://schemas.microsoft.com/office/drawing/2014/main" id="{D9FD6C21-8DC3-487B-9815-40B0D30459BB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2" name="Shape 5">
          <a:extLst>
            <a:ext uri="{FF2B5EF4-FFF2-40B4-BE49-F238E27FC236}">
              <a16:creationId xmlns:a16="http://schemas.microsoft.com/office/drawing/2014/main" id="{6D061194-B5E3-465D-BBD2-B581820873D7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3" name="Shape 5">
          <a:extLst>
            <a:ext uri="{FF2B5EF4-FFF2-40B4-BE49-F238E27FC236}">
              <a16:creationId xmlns:a16="http://schemas.microsoft.com/office/drawing/2014/main" id="{E6882365-CE86-4138-A117-5A75573F2B0D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4" name="Shape 5">
          <a:extLst>
            <a:ext uri="{FF2B5EF4-FFF2-40B4-BE49-F238E27FC236}">
              <a16:creationId xmlns:a16="http://schemas.microsoft.com/office/drawing/2014/main" id="{C01A42CA-FFFE-4405-AFDB-14B4BE7983DE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5" name="Shape 5">
          <a:extLst>
            <a:ext uri="{FF2B5EF4-FFF2-40B4-BE49-F238E27FC236}">
              <a16:creationId xmlns:a16="http://schemas.microsoft.com/office/drawing/2014/main" id="{45CFB73E-7835-4879-9E66-29F665E017DD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6" name="Shape 5">
          <a:extLst>
            <a:ext uri="{FF2B5EF4-FFF2-40B4-BE49-F238E27FC236}">
              <a16:creationId xmlns:a16="http://schemas.microsoft.com/office/drawing/2014/main" id="{F2904A72-3ED7-41DA-9733-ABF3B8240E7F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7" name="Shape 5">
          <a:extLst>
            <a:ext uri="{FF2B5EF4-FFF2-40B4-BE49-F238E27FC236}">
              <a16:creationId xmlns:a16="http://schemas.microsoft.com/office/drawing/2014/main" id="{8BA89A08-1A5E-4F5B-AA95-360C48797C2E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8" name="Shape 5">
          <a:extLst>
            <a:ext uri="{FF2B5EF4-FFF2-40B4-BE49-F238E27FC236}">
              <a16:creationId xmlns:a16="http://schemas.microsoft.com/office/drawing/2014/main" id="{C095F146-A23D-4286-8363-459CAB75344B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79" name="Shape 5">
          <a:extLst>
            <a:ext uri="{FF2B5EF4-FFF2-40B4-BE49-F238E27FC236}">
              <a16:creationId xmlns:a16="http://schemas.microsoft.com/office/drawing/2014/main" id="{5EB0EF43-5869-402A-A8A9-280FE791B334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80" name="Shape 5">
          <a:extLst>
            <a:ext uri="{FF2B5EF4-FFF2-40B4-BE49-F238E27FC236}">
              <a16:creationId xmlns:a16="http://schemas.microsoft.com/office/drawing/2014/main" id="{CB6D7697-B6E0-4FB3-A828-D6D62BE7865D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81" name="Shape 5">
          <a:extLst>
            <a:ext uri="{FF2B5EF4-FFF2-40B4-BE49-F238E27FC236}">
              <a16:creationId xmlns:a16="http://schemas.microsoft.com/office/drawing/2014/main" id="{CECD9871-3DD0-4D70-8CAB-B290DD5C00A6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137</xdr:row>
      <xdr:rowOff>0</xdr:rowOff>
    </xdr:from>
    <xdr:ext cx="38100" cy="9525"/>
    <xdr:sp macro="" textlink="">
      <xdr:nvSpPr>
        <xdr:cNvPr id="2082" name="Shape 5">
          <a:extLst>
            <a:ext uri="{FF2B5EF4-FFF2-40B4-BE49-F238E27FC236}">
              <a16:creationId xmlns:a16="http://schemas.microsoft.com/office/drawing/2014/main" id="{7017C7ED-3594-45AE-80A5-5F7F503C1C76}"/>
            </a:ext>
          </a:extLst>
        </xdr:cNvPr>
        <xdr:cNvSpPr/>
      </xdr:nvSpPr>
      <xdr:spPr>
        <a:xfrm>
          <a:off x="1514475" y="2875597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083" name="Shape 5">
          <a:extLst>
            <a:ext uri="{FF2B5EF4-FFF2-40B4-BE49-F238E27FC236}">
              <a16:creationId xmlns:a16="http://schemas.microsoft.com/office/drawing/2014/main" id="{FA2C7524-4085-460A-B2A5-BFA560A0057D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084" name="Shape 5">
          <a:extLst>
            <a:ext uri="{FF2B5EF4-FFF2-40B4-BE49-F238E27FC236}">
              <a16:creationId xmlns:a16="http://schemas.microsoft.com/office/drawing/2014/main" id="{638B7D60-22F3-4756-B063-64B36B253A88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085" name="Shape 5">
          <a:extLst>
            <a:ext uri="{FF2B5EF4-FFF2-40B4-BE49-F238E27FC236}">
              <a16:creationId xmlns:a16="http://schemas.microsoft.com/office/drawing/2014/main" id="{EF03F07E-AA3B-43EC-B8D9-A5E1E778F906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086" name="Shape 5">
          <a:extLst>
            <a:ext uri="{FF2B5EF4-FFF2-40B4-BE49-F238E27FC236}">
              <a16:creationId xmlns:a16="http://schemas.microsoft.com/office/drawing/2014/main" id="{B3060981-0EE2-47AF-9EFD-7D47175AC166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087" name="Shape 5">
          <a:extLst>
            <a:ext uri="{FF2B5EF4-FFF2-40B4-BE49-F238E27FC236}">
              <a16:creationId xmlns:a16="http://schemas.microsoft.com/office/drawing/2014/main" id="{B21AA231-11A2-44F3-B4EF-AEEC40F77D1A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088" name="Shape 4">
          <a:extLst>
            <a:ext uri="{FF2B5EF4-FFF2-40B4-BE49-F238E27FC236}">
              <a16:creationId xmlns:a16="http://schemas.microsoft.com/office/drawing/2014/main" id="{79B93FB4-23E4-4D86-AA39-3D6E4A8A75D9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089" name="Shape 5">
          <a:extLst>
            <a:ext uri="{FF2B5EF4-FFF2-40B4-BE49-F238E27FC236}">
              <a16:creationId xmlns:a16="http://schemas.microsoft.com/office/drawing/2014/main" id="{BF6B16A5-D518-4518-81BD-F72FE4D89A5F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090" name="Shape 4">
          <a:extLst>
            <a:ext uri="{FF2B5EF4-FFF2-40B4-BE49-F238E27FC236}">
              <a16:creationId xmlns:a16="http://schemas.microsoft.com/office/drawing/2014/main" id="{9470BC36-DFB5-46AD-89B2-74E8F80D7516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091" name="Shape 6">
          <a:extLst>
            <a:ext uri="{FF2B5EF4-FFF2-40B4-BE49-F238E27FC236}">
              <a16:creationId xmlns:a16="http://schemas.microsoft.com/office/drawing/2014/main" id="{E9D9CACA-47D9-429E-90E7-056A23021115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092" name="Shape 6">
          <a:extLst>
            <a:ext uri="{FF2B5EF4-FFF2-40B4-BE49-F238E27FC236}">
              <a16:creationId xmlns:a16="http://schemas.microsoft.com/office/drawing/2014/main" id="{705BF1F5-ED59-4718-82DF-6FFBC53FBBF3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093" name="Shape 6">
          <a:extLst>
            <a:ext uri="{FF2B5EF4-FFF2-40B4-BE49-F238E27FC236}">
              <a16:creationId xmlns:a16="http://schemas.microsoft.com/office/drawing/2014/main" id="{742FD767-A7D2-464B-95F5-881D614AE872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094" name="Shape 6">
          <a:extLst>
            <a:ext uri="{FF2B5EF4-FFF2-40B4-BE49-F238E27FC236}">
              <a16:creationId xmlns:a16="http://schemas.microsoft.com/office/drawing/2014/main" id="{7809661B-2203-4057-8AFF-FEAEEC7758F8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095" name="Shape 6">
          <a:extLst>
            <a:ext uri="{FF2B5EF4-FFF2-40B4-BE49-F238E27FC236}">
              <a16:creationId xmlns:a16="http://schemas.microsoft.com/office/drawing/2014/main" id="{AFBB033F-2B6C-4665-AB63-37A3991EC5FC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096" name="Shape 6">
          <a:extLst>
            <a:ext uri="{FF2B5EF4-FFF2-40B4-BE49-F238E27FC236}">
              <a16:creationId xmlns:a16="http://schemas.microsoft.com/office/drawing/2014/main" id="{B8414D82-2328-43CC-BF7F-178D5BA039AB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097" name="Shape 6">
          <a:extLst>
            <a:ext uri="{FF2B5EF4-FFF2-40B4-BE49-F238E27FC236}">
              <a16:creationId xmlns:a16="http://schemas.microsoft.com/office/drawing/2014/main" id="{98E424D3-4309-4561-A6C0-FECC4780D2DC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098" name="Shape 6">
          <a:extLst>
            <a:ext uri="{FF2B5EF4-FFF2-40B4-BE49-F238E27FC236}">
              <a16:creationId xmlns:a16="http://schemas.microsoft.com/office/drawing/2014/main" id="{6A1CB7A0-544F-49B0-BA2D-386AD431DF77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099" name="Shape 6">
          <a:extLst>
            <a:ext uri="{FF2B5EF4-FFF2-40B4-BE49-F238E27FC236}">
              <a16:creationId xmlns:a16="http://schemas.microsoft.com/office/drawing/2014/main" id="{5A46C885-4107-4F9C-A47E-01F0246DE987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00" name="Shape 5">
          <a:extLst>
            <a:ext uri="{FF2B5EF4-FFF2-40B4-BE49-F238E27FC236}">
              <a16:creationId xmlns:a16="http://schemas.microsoft.com/office/drawing/2014/main" id="{B3A5A851-10F1-449D-B590-0D1A4B27BD1B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01" name="Shape 5">
          <a:extLst>
            <a:ext uri="{FF2B5EF4-FFF2-40B4-BE49-F238E27FC236}">
              <a16:creationId xmlns:a16="http://schemas.microsoft.com/office/drawing/2014/main" id="{6EEF76C9-B297-4E22-9B8D-F127DA053C14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02" name="Shape 5">
          <a:extLst>
            <a:ext uri="{FF2B5EF4-FFF2-40B4-BE49-F238E27FC236}">
              <a16:creationId xmlns:a16="http://schemas.microsoft.com/office/drawing/2014/main" id="{D9F7A8FF-C6DA-43E2-8F9E-B1A7B31F0A45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03" name="Shape 5">
          <a:extLst>
            <a:ext uri="{FF2B5EF4-FFF2-40B4-BE49-F238E27FC236}">
              <a16:creationId xmlns:a16="http://schemas.microsoft.com/office/drawing/2014/main" id="{0AB9AF62-3F3E-438F-A9F6-4C11B39A7355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04" name="Shape 5">
          <a:extLst>
            <a:ext uri="{FF2B5EF4-FFF2-40B4-BE49-F238E27FC236}">
              <a16:creationId xmlns:a16="http://schemas.microsoft.com/office/drawing/2014/main" id="{77C42812-2F0A-4E18-822E-F7B7E687D7BF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05" name="Shape 5">
          <a:extLst>
            <a:ext uri="{FF2B5EF4-FFF2-40B4-BE49-F238E27FC236}">
              <a16:creationId xmlns:a16="http://schemas.microsoft.com/office/drawing/2014/main" id="{2D3E4283-080F-4328-B9A4-25A89CE56E5E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06" name="Shape 5">
          <a:extLst>
            <a:ext uri="{FF2B5EF4-FFF2-40B4-BE49-F238E27FC236}">
              <a16:creationId xmlns:a16="http://schemas.microsoft.com/office/drawing/2014/main" id="{5F836825-35F5-4318-9C00-1F10A0A9F5FC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07" name="Shape 5">
          <a:extLst>
            <a:ext uri="{FF2B5EF4-FFF2-40B4-BE49-F238E27FC236}">
              <a16:creationId xmlns:a16="http://schemas.microsoft.com/office/drawing/2014/main" id="{B6F2696F-0B54-4CF7-ADDE-F402524EF45D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08" name="Shape 6">
          <a:extLst>
            <a:ext uri="{FF2B5EF4-FFF2-40B4-BE49-F238E27FC236}">
              <a16:creationId xmlns:a16="http://schemas.microsoft.com/office/drawing/2014/main" id="{579E1D49-2615-4F96-9F4F-C54B7BF3356D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09" name="Shape 6">
          <a:extLst>
            <a:ext uri="{FF2B5EF4-FFF2-40B4-BE49-F238E27FC236}">
              <a16:creationId xmlns:a16="http://schemas.microsoft.com/office/drawing/2014/main" id="{62D5597D-0FED-4312-922A-83724AF6266E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10" name="Shape 6">
          <a:extLst>
            <a:ext uri="{FF2B5EF4-FFF2-40B4-BE49-F238E27FC236}">
              <a16:creationId xmlns:a16="http://schemas.microsoft.com/office/drawing/2014/main" id="{D39DBD5B-3658-4BC6-BFCD-5200D5FB727A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11" name="Shape 6">
          <a:extLst>
            <a:ext uri="{FF2B5EF4-FFF2-40B4-BE49-F238E27FC236}">
              <a16:creationId xmlns:a16="http://schemas.microsoft.com/office/drawing/2014/main" id="{0E548F71-2505-424D-B9FF-FBA23C6FF931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12" name="Shape 6">
          <a:extLst>
            <a:ext uri="{FF2B5EF4-FFF2-40B4-BE49-F238E27FC236}">
              <a16:creationId xmlns:a16="http://schemas.microsoft.com/office/drawing/2014/main" id="{A53859AD-9B43-45AA-A2A8-776E1C16A693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13" name="Shape 7">
          <a:extLst>
            <a:ext uri="{FF2B5EF4-FFF2-40B4-BE49-F238E27FC236}">
              <a16:creationId xmlns:a16="http://schemas.microsoft.com/office/drawing/2014/main" id="{ED733E47-8CAF-4224-A181-7A7CA9C6BFB7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14" name="Shape 6">
          <a:extLst>
            <a:ext uri="{FF2B5EF4-FFF2-40B4-BE49-F238E27FC236}">
              <a16:creationId xmlns:a16="http://schemas.microsoft.com/office/drawing/2014/main" id="{414C119D-FB89-453B-9353-4D105F13C34A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15" name="Shape 7">
          <a:extLst>
            <a:ext uri="{FF2B5EF4-FFF2-40B4-BE49-F238E27FC236}">
              <a16:creationId xmlns:a16="http://schemas.microsoft.com/office/drawing/2014/main" id="{3604C44D-3366-4CF5-A4DB-E2F5E0960AFF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16" name="Shape 6">
          <a:extLst>
            <a:ext uri="{FF2B5EF4-FFF2-40B4-BE49-F238E27FC236}">
              <a16:creationId xmlns:a16="http://schemas.microsoft.com/office/drawing/2014/main" id="{CADAEF1E-5319-4E5B-8AA3-68BE978D1CA7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17" name="Shape 6">
          <a:extLst>
            <a:ext uri="{FF2B5EF4-FFF2-40B4-BE49-F238E27FC236}">
              <a16:creationId xmlns:a16="http://schemas.microsoft.com/office/drawing/2014/main" id="{9AF7200E-C341-483A-95DE-320A4C259F32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18" name="Shape 6">
          <a:extLst>
            <a:ext uri="{FF2B5EF4-FFF2-40B4-BE49-F238E27FC236}">
              <a16:creationId xmlns:a16="http://schemas.microsoft.com/office/drawing/2014/main" id="{E5416786-5681-4BC8-A658-8DFBDB862537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19" name="Shape 6">
          <a:extLst>
            <a:ext uri="{FF2B5EF4-FFF2-40B4-BE49-F238E27FC236}">
              <a16:creationId xmlns:a16="http://schemas.microsoft.com/office/drawing/2014/main" id="{88CBBAD4-9ED7-43D8-9456-9FF9EA1FA82C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20" name="Shape 6">
          <a:extLst>
            <a:ext uri="{FF2B5EF4-FFF2-40B4-BE49-F238E27FC236}">
              <a16:creationId xmlns:a16="http://schemas.microsoft.com/office/drawing/2014/main" id="{CDE93FE6-29F5-406D-B668-5313C0AA4CE6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21" name="Shape 6">
          <a:extLst>
            <a:ext uri="{FF2B5EF4-FFF2-40B4-BE49-F238E27FC236}">
              <a16:creationId xmlns:a16="http://schemas.microsoft.com/office/drawing/2014/main" id="{47A5F24D-B4BB-4F19-B1E7-2546C7D79804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22" name="Shape 5">
          <a:extLst>
            <a:ext uri="{FF2B5EF4-FFF2-40B4-BE49-F238E27FC236}">
              <a16:creationId xmlns:a16="http://schemas.microsoft.com/office/drawing/2014/main" id="{FAFFB6AE-A61F-4E0B-9BDB-A9C4BEB337DE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23" name="Shape 5">
          <a:extLst>
            <a:ext uri="{FF2B5EF4-FFF2-40B4-BE49-F238E27FC236}">
              <a16:creationId xmlns:a16="http://schemas.microsoft.com/office/drawing/2014/main" id="{E6826D0A-0D98-4B43-9CA0-FBF95FB118D4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24" name="Shape 5">
          <a:extLst>
            <a:ext uri="{FF2B5EF4-FFF2-40B4-BE49-F238E27FC236}">
              <a16:creationId xmlns:a16="http://schemas.microsoft.com/office/drawing/2014/main" id="{B02D5C0D-CB5A-41B4-AA9F-C1A09CB011C0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25" name="Shape 5">
          <a:extLst>
            <a:ext uri="{FF2B5EF4-FFF2-40B4-BE49-F238E27FC236}">
              <a16:creationId xmlns:a16="http://schemas.microsoft.com/office/drawing/2014/main" id="{2BF73935-64E0-4086-893F-4B33B49B4871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26" name="Shape 5">
          <a:extLst>
            <a:ext uri="{FF2B5EF4-FFF2-40B4-BE49-F238E27FC236}">
              <a16:creationId xmlns:a16="http://schemas.microsoft.com/office/drawing/2014/main" id="{C8642FD5-237F-458E-8982-B1F81539246D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27" name="Shape 4">
          <a:extLst>
            <a:ext uri="{FF2B5EF4-FFF2-40B4-BE49-F238E27FC236}">
              <a16:creationId xmlns:a16="http://schemas.microsoft.com/office/drawing/2014/main" id="{6F0FE358-AA0A-4336-8EA3-AABB984642EF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28" name="Shape 5">
          <a:extLst>
            <a:ext uri="{FF2B5EF4-FFF2-40B4-BE49-F238E27FC236}">
              <a16:creationId xmlns:a16="http://schemas.microsoft.com/office/drawing/2014/main" id="{A2CD3620-2F67-4491-BEA2-05901395B783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29" name="Shape 4">
          <a:extLst>
            <a:ext uri="{FF2B5EF4-FFF2-40B4-BE49-F238E27FC236}">
              <a16:creationId xmlns:a16="http://schemas.microsoft.com/office/drawing/2014/main" id="{7EDEE046-203B-49AA-9063-C81621F2031A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0" name="Shape 5">
          <a:extLst>
            <a:ext uri="{FF2B5EF4-FFF2-40B4-BE49-F238E27FC236}">
              <a16:creationId xmlns:a16="http://schemas.microsoft.com/office/drawing/2014/main" id="{C1AD6D54-ACDC-4981-AC67-9E7265FDD0E2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1" name="Shape 5">
          <a:extLst>
            <a:ext uri="{FF2B5EF4-FFF2-40B4-BE49-F238E27FC236}">
              <a16:creationId xmlns:a16="http://schemas.microsoft.com/office/drawing/2014/main" id="{A3A3B8DF-B2FB-4BE2-A189-121012609A98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2" name="Shape 5">
          <a:extLst>
            <a:ext uri="{FF2B5EF4-FFF2-40B4-BE49-F238E27FC236}">
              <a16:creationId xmlns:a16="http://schemas.microsoft.com/office/drawing/2014/main" id="{6B38F196-A256-4B74-BACF-A4DA5F660EA7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3" name="Shape 5">
          <a:extLst>
            <a:ext uri="{FF2B5EF4-FFF2-40B4-BE49-F238E27FC236}">
              <a16:creationId xmlns:a16="http://schemas.microsoft.com/office/drawing/2014/main" id="{B238E2FF-85D0-4896-A348-8FC5C0F50671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4" name="Shape 5">
          <a:extLst>
            <a:ext uri="{FF2B5EF4-FFF2-40B4-BE49-F238E27FC236}">
              <a16:creationId xmlns:a16="http://schemas.microsoft.com/office/drawing/2014/main" id="{F873803F-850F-4EC5-BE82-68265163F50B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5" name="Shape 5">
          <a:extLst>
            <a:ext uri="{FF2B5EF4-FFF2-40B4-BE49-F238E27FC236}">
              <a16:creationId xmlns:a16="http://schemas.microsoft.com/office/drawing/2014/main" id="{061125F6-DCA1-4CDC-A96A-E1B2C24E72AC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6" name="Shape 5">
          <a:extLst>
            <a:ext uri="{FF2B5EF4-FFF2-40B4-BE49-F238E27FC236}">
              <a16:creationId xmlns:a16="http://schemas.microsoft.com/office/drawing/2014/main" id="{5FE4E322-AA64-4FD4-BAB8-55EE6B24B7CD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7" name="Shape 5">
          <a:extLst>
            <a:ext uri="{FF2B5EF4-FFF2-40B4-BE49-F238E27FC236}">
              <a16:creationId xmlns:a16="http://schemas.microsoft.com/office/drawing/2014/main" id="{60796FBE-ED5E-41D4-8AE0-F38C41041EB1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8" name="Shape 5">
          <a:extLst>
            <a:ext uri="{FF2B5EF4-FFF2-40B4-BE49-F238E27FC236}">
              <a16:creationId xmlns:a16="http://schemas.microsoft.com/office/drawing/2014/main" id="{FCEDC8E2-6E90-4494-BB13-3C66FBAA0CE4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39" name="Shape 5">
          <a:extLst>
            <a:ext uri="{FF2B5EF4-FFF2-40B4-BE49-F238E27FC236}">
              <a16:creationId xmlns:a16="http://schemas.microsoft.com/office/drawing/2014/main" id="{BC887A1C-0792-44A4-961A-003EEE0AA2B7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40" name="Shape 5">
          <a:extLst>
            <a:ext uri="{FF2B5EF4-FFF2-40B4-BE49-F238E27FC236}">
              <a16:creationId xmlns:a16="http://schemas.microsoft.com/office/drawing/2014/main" id="{E2E6753D-3DBB-4E58-B17C-9D1755790278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41" name="Shape 4">
          <a:extLst>
            <a:ext uri="{FF2B5EF4-FFF2-40B4-BE49-F238E27FC236}">
              <a16:creationId xmlns:a16="http://schemas.microsoft.com/office/drawing/2014/main" id="{C85793F7-79C5-43FD-BA6D-B09437FD5B8B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42" name="Shape 4">
          <a:extLst>
            <a:ext uri="{FF2B5EF4-FFF2-40B4-BE49-F238E27FC236}">
              <a16:creationId xmlns:a16="http://schemas.microsoft.com/office/drawing/2014/main" id="{ABD77217-118D-4F71-9A7F-916B838951BC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43" name="Shape 7">
          <a:extLst>
            <a:ext uri="{FF2B5EF4-FFF2-40B4-BE49-F238E27FC236}">
              <a16:creationId xmlns:a16="http://schemas.microsoft.com/office/drawing/2014/main" id="{11AEE342-DF36-46DD-958A-481D30C6BAC2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44" name="Shape 7">
          <a:extLst>
            <a:ext uri="{FF2B5EF4-FFF2-40B4-BE49-F238E27FC236}">
              <a16:creationId xmlns:a16="http://schemas.microsoft.com/office/drawing/2014/main" id="{9FCCB695-A079-4919-930F-9B8DA697AD8D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45" name="Shape 4">
          <a:extLst>
            <a:ext uri="{FF2B5EF4-FFF2-40B4-BE49-F238E27FC236}">
              <a16:creationId xmlns:a16="http://schemas.microsoft.com/office/drawing/2014/main" id="{DBF19D5C-9AD8-4151-9E23-9145F64B9AEB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46" name="Shape 4">
          <a:extLst>
            <a:ext uri="{FF2B5EF4-FFF2-40B4-BE49-F238E27FC236}">
              <a16:creationId xmlns:a16="http://schemas.microsoft.com/office/drawing/2014/main" id="{FD6DAADC-0916-4F9E-BAF2-DB15762381B8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47" name="Shape 4">
          <a:extLst>
            <a:ext uri="{FF2B5EF4-FFF2-40B4-BE49-F238E27FC236}">
              <a16:creationId xmlns:a16="http://schemas.microsoft.com/office/drawing/2014/main" id="{54A114A4-0115-430A-A8A6-85E730E2FFC8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48" name="Shape 4">
          <a:extLst>
            <a:ext uri="{FF2B5EF4-FFF2-40B4-BE49-F238E27FC236}">
              <a16:creationId xmlns:a16="http://schemas.microsoft.com/office/drawing/2014/main" id="{CB55BDB2-B1AB-406B-9263-09CAD40F754F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49" name="Shape 7">
          <a:extLst>
            <a:ext uri="{FF2B5EF4-FFF2-40B4-BE49-F238E27FC236}">
              <a16:creationId xmlns:a16="http://schemas.microsoft.com/office/drawing/2014/main" id="{9FC7D784-45AE-4AD0-9030-D9B9718C703D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50" name="Shape 7">
          <a:extLst>
            <a:ext uri="{FF2B5EF4-FFF2-40B4-BE49-F238E27FC236}">
              <a16:creationId xmlns:a16="http://schemas.microsoft.com/office/drawing/2014/main" id="{E655314D-BFC5-4906-81D7-35CE7691D40B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51" name="Shape 4">
          <a:extLst>
            <a:ext uri="{FF2B5EF4-FFF2-40B4-BE49-F238E27FC236}">
              <a16:creationId xmlns:a16="http://schemas.microsoft.com/office/drawing/2014/main" id="{2815D924-1250-40AE-9306-A08672A8E38F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52" name="Shape 4">
          <a:extLst>
            <a:ext uri="{FF2B5EF4-FFF2-40B4-BE49-F238E27FC236}">
              <a16:creationId xmlns:a16="http://schemas.microsoft.com/office/drawing/2014/main" id="{11FD34A5-085F-48FF-A59B-18152BBAFCAF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53" name="Shape 4">
          <a:extLst>
            <a:ext uri="{FF2B5EF4-FFF2-40B4-BE49-F238E27FC236}">
              <a16:creationId xmlns:a16="http://schemas.microsoft.com/office/drawing/2014/main" id="{3F67C6D4-A2A2-491C-B640-E5512FADE7B7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54" name="Shape 4">
          <a:extLst>
            <a:ext uri="{FF2B5EF4-FFF2-40B4-BE49-F238E27FC236}">
              <a16:creationId xmlns:a16="http://schemas.microsoft.com/office/drawing/2014/main" id="{CC0B5568-EAE5-47A1-871E-94A46D658065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55" name="Shape 7">
          <a:extLst>
            <a:ext uri="{FF2B5EF4-FFF2-40B4-BE49-F238E27FC236}">
              <a16:creationId xmlns:a16="http://schemas.microsoft.com/office/drawing/2014/main" id="{B163E38E-4EB8-4F7C-8C99-B74BE24C1F87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56" name="Shape 7">
          <a:extLst>
            <a:ext uri="{FF2B5EF4-FFF2-40B4-BE49-F238E27FC236}">
              <a16:creationId xmlns:a16="http://schemas.microsoft.com/office/drawing/2014/main" id="{787482B5-55E7-46AC-8D7D-7EA939851EBC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57" name="Shape 4">
          <a:extLst>
            <a:ext uri="{FF2B5EF4-FFF2-40B4-BE49-F238E27FC236}">
              <a16:creationId xmlns:a16="http://schemas.microsoft.com/office/drawing/2014/main" id="{06A3F3DC-7A0C-4078-AB26-FF6F2D68AF29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154</xdr:row>
      <xdr:rowOff>0</xdr:rowOff>
    </xdr:from>
    <xdr:ext cx="38100" cy="9525"/>
    <xdr:sp macro="" textlink="">
      <xdr:nvSpPr>
        <xdr:cNvPr id="2158" name="Shape 4">
          <a:extLst>
            <a:ext uri="{FF2B5EF4-FFF2-40B4-BE49-F238E27FC236}">
              <a16:creationId xmlns:a16="http://schemas.microsoft.com/office/drawing/2014/main" id="{0FDB5871-DB09-47AA-A6DD-726F5C11C179}"/>
            </a:ext>
          </a:extLst>
        </xdr:cNvPr>
        <xdr:cNvSpPr/>
      </xdr:nvSpPr>
      <xdr:spPr>
        <a:xfrm>
          <a:off x="7577138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59" name="Shape 4">
          <a:extLst>
            <a:ext uri="{FF2B5EF4-FFF2-40B4-BE49-F238E27FC236}">
              <a16:creationId xmlns:a16="http://schemas.microsoft.com/office/drawing/2014/main" id="{C55D2255-892D-4C6B-B2ED-23064C87AB65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0" name="Shape 4">
          <a:extLst>
            <a:ext uri="{FF2B5EF4-FFF2-40B4-BE49-F238E27FC236}">
              <a16:creationId xmlns:a16="http://schemas.microsoft.com/office/drawing/2014/main" id="{594EEBD5-CB5D-4298-8FC0-4475ABBF2E9A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1" name="Shape 7">
          <a:extLst>
            <a:ext uri="{FF2B5EF4-FFF2-40B4-BE49-F238E27FC236}">
              <a16:creationId xmlns:a16="http://schemas.microsoft.com/office/drawing/2014/main" id="{CC7A3B7C-9E1C-4A1C-8ACD-57D33507E457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2" name="Shape 7">
          <a:extLst>
            <a:ext uri="{FF2B5EF4-FFF2-40B4-BE49-F238E27FC236}">
              <a16:creationId xmlns:a16="http://schemas.microsoft.com/office/drawing/2014/main" id="{4F1B9EB9-EC84-4E05-832F-7F7AD2433918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3" name="Shape 4">
          <a:extLst>
            <a:ext uri="{FF2B5EF4-FFF2-40B4-BE49-F238E27FC236}">
              <a16:creationId xmlns:a16="http://schemas.microsoft.com/office/drawing/2014/main" id="{C5488413-CC40-4FB8-999D-6631ABFF0FB6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4" name="Shape 4">
          <a:extLst>
            <a:ext uri="{FF2B5EF4-FFF2-40B4-BE49-F238E27FC236}">
              <a16:creationId xmlns:a16="http://schemas.microsoft.com/office/drawing/2014/main" id="{F07FFCB9-461A-4693-B940-91AF78141525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5" name="Shape 4">
          <a:extLst>
            <a:ext uri="{FF2B5EF4-FFF2-40B4-BE49-F238E27FC236}">
              <a16:creationId xmlns:a16="http://schemas.microsoft.com/office/drawing/2014/main" id="{9DF5D933-0AA3-4635-AF96-2C16FD770536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6" name="Shape 4">
          <a:extLst>
            <a:ext uri="{FF2B5EF4-FFF2-40B4-BE49-F238E27FC236}">
              <a16:creationId xmlns:a16="http://schemas.microsoft.com/office/drawing/2014/main" id="{AF0CD62C-6DDA-4971-8280-E25FA0932B5E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7" name="Shape 7">
          <a:extLst>
            <a:ext uri="{FF2B5EF4-FFF2-40B4-BE49-F238E27FC236}">
              <a16:creationId xmlns:a16="http://schemas.microsoft.com/office/drawing/2014/main" id="{F017BCA8-AB3F-4C6E-8F60-0329D143855D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8" name="Shape 7">
          <a:extLst>
            <a:ext uri="{FF2B5EF4-FFF2-40B4-BE49-F238E27FC236}">
              <a16:creationId xmlns:a16="http://schemas.microsoft.com/office/drawing/2014/main" id="{C26DC7F0-7A6A-4052-905A-5F0724FC4A63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69" name="Shape 4">
          <a:extLst>
            <a:ext uri="{FF2B5EF4-FFF2-40B4-BE49-F238E27FC236}">
              <a16:creationId xmlns:a16="http://schemas.microsoft.com/office/drawing/2014/main" id="{55A2CB6F-11E2-458E-9695-6EE507DA9551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162</xdr:row>
      <xdr:rowOff>0</xdr:rowOff>
    </xdr:from>
    <xdr:ext cx="38100" cy="9525"/>
    <xdr:sp macro="" textlink="">
      <xdr:nvSpPr>
        <xdr:cNvPr id="2170" name="Shape 4">
          <a:extLst>
            <a:ext uri="{FF2B5EF4-FFF2-40B4-BE49-F238E27FC236}">
              <a16:creationId xmlns:a16="http://schemas.microsoft.com/office/drawing/2014/main" id="{994E84B9-CA10-4530-BA3D-752CAB9FE06A}"/>
            </a:ext>
          </a:extLst>
        </xdr:cNvPr>
        <xdr:cNvSpPr/>
      </xdr:nvSpPr>
      <xdr:spPr>
        <a:xfrm>
          <a:off x="7577138" y="32539781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71" name="Shape 5">
          <a:extLst>
            <a:ext uri="{FF2B5EF4-FFF2-40B4-BE49-F238E27FC236}">
              <a16:creationId xmlns:a16="http://schemas.microsoft.com/office/drawing/2014/main" id="{772E1C80-8D0B-4AFC-9852-544F2BB20CB6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72" name="Shape 5">
          <a:extLst>
            <a:ext uri="{FF2B5EF4-FFF2-40B4-BE49-F238E27FC236}">
              <a16:creationId xmlns:a16="http://schemas.microsoft.com/office/drawing/2014/main" id="{532B400A-F468-4FEB-97DD-514F08EA9A23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73" name="Shape 5">
          <a:extLst>
            <a:ext uri="{FF2B5EF4-FFF2-40B4-BE49-F238E27FC236}">
              <a16:creationId xmlns:a16="http://schemas.microsoft.com/office/drawing/2014/main" id="{6A22C976-B694-4D45-9C4B-5B89D43EB0C5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74" name="Shape 5">
          <a:extLst>
            <a:ext uri="{FF2B5EF4-FFF2-40B4-BE49-F238E27FC236}">
              <a16:creationId xmlns:a16="http://schemas.microsoft.com/office/drawing/2014/main" id="{9F5EC142-0902-4C25-9C87-4839A2CD814C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75" name="Shape 5">
          <a:extLst>
            <a:ext uri="{FF2B5EF4-FFF2-40B4-BE49-F238E27FC236}">
              <a16:creationId xmlns:a16="http://schemas.microsoft.com/office/drawing/2014/main" id="{BBE0B3D8-0C52-4682-86C2-A08C4D06E9EF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76" name="Shape 5">
          <a:extLst>
            <a:ext uri="{FF2B5EF4-FFF2-40B4-BE49-F238E27FC236}">
              <a16:creationId xmlns:a16="http://schemas.microsoft.com/office/drawing/2014/main" id="{110F2F71-E5D7-40B1-B5D4-FE54333843EE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77" name="Shape 6">
          <a:extLst>
            <a:ext uri="{FF2B5EF4-FFF2-40B4-BE49-F238E27FC236}">
              <a16:creationId xmlns:a16="http://schemas.microsoft.com/office/drawing/2014/main" id="{0BAB1D47-94FD-498A-B5C3-B7E4A4E99EC7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78" name="Shape 6">
          <a:extLst>
            <a:ext uri="{FF2B5EF4-FFF2-40B4-BE49-F238E27FC236}">
              <a16:creationId xmlns:a16="http://schemas.microsoft.com/office/drawing/2014/main" id="{663D0330-AC72-4371-9C1C-3A3BBF2F6BF3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79" name="Shape 6">
          <a:extLst>
            <a:ext uri="{FF2B5EF4-FFF2-40B4-BE49-F238E27FC236}">
              <a16:creationId xmlns:a16="http://schemas.microsoft.com/office/drawing/2014/main" id="{59C04E06-880C-4E70-B06F-C94C38438CA1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80" name="Shape 6">
          <a:extLst>
            <a:ext uri="{FF2B5EF4-FFF2-40B4-BE49-F238E27FC236}">
              <a16:creationId xmlns:a16="http://schemas.microsoft.com/office/drawing/2014/main" id="{B977BCB4-5432-4F96-81BF-7E38A2A71F5A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81" name="Shape 6">
          <a:extLst>
            <a:ext uri="{FF2B5EF4-FFF2-40B4-BE49-F238E27FC236}">
              <a16:creationId xmlns:a16="http://schemas.microsoft.com/office/drawing/2014/main" id="{15EE1A10-7B20-4A93-864F-B545B867EB7E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82" name="Shape 6">
          <a:extLst>
            <a:ext uri="{FF2B5EF4-FFF2-40B4-BE49-F238E27FC236}">
              <a16:creationId xmlns:a16="http://schemas.microsoft.com/office/drawing/2014/main" id="{DDB87048-B699-4182-BF3F-9AA863394EB7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83" name="Shape 6">
          <a:extLst>
            <a:ext uri="{FF2B5EF4-FFF2-40B4-BE49-F238E27FC236}">
              <a16:creationId xmlns:a16="http://schemas.microsoft.com/office/drawing/2014/main" id="{E113991F-9013-4CAD-B820-950858816B11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84" name="Shape 6">
          <a:extLst>
            <a:ext uri="{FF2B5EF4-FFF2-40B4-BE49-F238E27FC236}">
              <a16:creationId xmlns:a16="http://schemas.microsoft.com/office/drawing/2014/main" id="{B171E68E-859D-44E8-A77F-A01A30780472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85" name="Shape 6">
          <a:extLst>
            <a:ext uri="{FF2B5EF4-FFF2-40B4-BE49-F238E27FC236}">
              <a16:creationId xmlns:a16="http://schemas.microsoft.com/office/drawing/2014/main" id="{5A3528A0-8DC5-4D90-905C-EA73A322F72F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86" name="Shape 5">
          <a:extLst>
            <a:ext uri="{FF2B5EF4-FFF2-40B4-BE49-F238E27FC236}">
              <a16:creationId xmlns:a16="http://schemas.microsoft.com/office/drawing/2014/main" id="{5330475E-A9BF-4AF2-8D49-AD18C963B2BE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87" name="Shape 5">
          <a:extLst>
            <a:ext uri="{FF2B5EF4-FFF2-40B4-BE49-F238E27FC236}">
              <a16:creationId xmlns:a16="http://schemas.microsoft.com/office/drawing/2014/main" id="{3D592D38-3E59-497E-A5B4-29C7D0AA9030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88" name="Shape 5">
          <a:extLst>
            <a:ext uri="{FF2B5EF4-FFF2-40B4-BE49-F238E27FC236}">
              <a16:creationId xmlns:a16="http://schemas.microsoft.com/office/drawing/2014/main" id="{13A3C150-F244-4965-8A60-CB3E4528C777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89" name="Shape 5">
          <a:extLst>
            <a:ext uri="{FF2B5EF4-FFF2-40B4-BE49-F238E27FC236}">
              <a16:creationId xmlns:a16="http://schemas.microsoft.com/office/drawing/2014/main" id="{26350B59-BA94-4EBA-9E3D-D9B628C599CB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90" name="Shape 5">
          <a:extLst>
            <a:ext uri="{FF2B5EF4-FFF2-40B4-BE49-F238E27FC236}">
              <a16:creationId xmlns:a16="http://schemas.microsoft.com/office/drawing/2014/main" id="{7FE03FBC-6EF8-4424-A880-93D0DC14B6B3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91" name="Shape 5">
          <a:extLst>
            <a:ext uri="{FF2B5EF4-FFF2-40B4-BE49-F238E27FC236}">
              <a16:creationId xmlns:a16="http://schemas.microsoft.com/office/drawing/2014/main" id="{AA1FA35D-39AC-4D37-A2A5-B944D8994A46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92" name="Shape 5">
          <a:extLst>
            <a:ext uri="{FF2B5EF4-FFF2-40B4-BE49-F238E27FC236}">
              <a16:creationId xmlns:a16="http://schemas.microsoft.com/office/drawing/2014/main" id="{C60CF9BF-EDAE-4896-A95E-C95F7E5F7CA8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193" name="Shape 5">
          <a:extLst>
            <a:ext uri="{FF2B5EF4-FFF2-40B4-BE49-F238E27FC236}">
              <a16:creationId xmlns:a16="http://schemas.microsoft.com/office/drawing/2014/main" id="{C129206B-0CD3-41FC-92E0-B63895E6BEB4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94" name="Shape 6">
          <a:extLst>
            <a:ext uri="{FF2B5EF4-FFF2-40B4-BE49-F238E27FC236}">
              <a16:creationId xmlns:a16="http://schemas.microsoft.com/office/drawing/2014/main" id="{7F04FFC4-B01F-454D-9674-FF347FE20C5A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95" name="Shape 6">
          <a:extLst>
            <a:ext uri="{FF2B5EF4-FFF2-40B4-BE49-F238E27FC236}">
              <a16:creationId xmlns:a16="http://schemas.microsoft.com/office/drawing/2014/main" id="{2C769860-58FD-455C-A3FB-AF9F909884A9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96" name="Shape 6">
          <a:extLst>
            <a:ext uri="{FF2B5EF4-FFF2-40B4-BE49-F238E27FC236}">
              <a16:creationId xmlns:a16="http://schemas.microsoft.com/office/drawing/2014/main" id="{F2CCAB01-99DF-41AB-9AF4-87F73AB90999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97" name="Shape 6">
          <a:extLst>
            <a:ext uri="{FF2B5EF4-FFF2-40B4-BE49-F238E27FC236}">
              <a16:creationId xmlns:a16="http://schemas.microsoft.com/office/drawing/2014/main" id="{2600B49E-36DD-4D4F-972D-A73A3C2FD5FE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98" name="Shape 6">
          <a:extLst>
            <a:ext uri="{FF2B5EF4-FFF2-40B4-BE49-F238E27FC236}">
              <a16:creationId xmlns:a16="http://schemas.microsoft.com/office/drawing/2014/main" id="{6D01363B-F55F-4FA6-9BB2-C29F13882F84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199" name="Shape 6">
          <a:extLst>
            <a:ext uri="{FF2B5EF4-FFF2-40B4-BE49-F238E27FC236}">
              <a16:creationId xmlns:a16="http://schemas.microsoft.com/office/drawing/2014/main" id="{F1C54378-79D4-42F6-9CE8-574173E1D53C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28575" cy="9525"/>
    <xdr:sp macro="" textlink="">
      <xdr:nvSpPr>
        <xdr:cNvPr id="2200" name="Shape 6">
          <a:extLst>
            <a:ext uri="{FF2B5EF4-FFF2-40B4-BE49-F238E27FC236}">
              <a16:creationId xmlns:a16="http://schemas.microsoft.com/office/drawing/2014/main" id="{2025892E-E53F-46A9-8823-A52667E0B9EC}"/>
            </a:ext>
          </a:extLst>
        </xdr:cNvPr>
        <xdr:cNvSpPr/>
      </xdr:nvSpPr>
      <xdr:spPr>
        <a:xfrm>
          <a:off x="1466850" y="29908500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01" name="Shape 6">
          <a:extLst>
            <a:ext uri="{FF2B5EF4-FFF2-40B4-BE49-F238E27FC236}">
              <a16:creationId xmlns:a16="http://schemas.microsoft.com/office/drawing/2014/main" id="{BE663658-603E-4AFA-8F82-32B4564C1E19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02" name="Shape 6">
          <a:extLst>
            <a:ext uri="{FF2B5EF4-FFF2-40B4-BE49-F238E27FC236}">
              <a16:creationId xmlns:a16="http://schemas.microsoft.com/office/drawing/2014/main" id="{96F359CC-B330-47D6-8BC6-AA7DD8547E9E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03" name="Shape 6">
          <a:extLst>
            <a:ext uri="{FF2B5EF4-FFF2-40B4-BE49-F238E27FC236}">
              <a16:creationId xmlns:a16="http://schemas.microsoft.com/office/drawing/2014/main" id="{71FD636B-1193-43FF-86C8-FA3DDC09784A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04" name="Shape 6">
          <a:extLst>
            <a:ext uri="{FF2B5EF4-FFF2-40B4-BE49-F238E27FC236}">
              <a16:creationId xmlns:a16="http://schemas.microsoft.com/office/drawing/2014/main" id="{93910146-A752-4FCB-995C-3F8D94938ED9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05" name="Shape 6">
          <a:extLst>
            <a:ext uri="{FF2B5EF4-FFF2-40B4-BE49-F238E27FC236}">
              <a16:creationId xmlns:a16="http://schemas.microsoft.com/office/drawing/2014/main" id="{34F926A7-06F3-4A86-8542-900DB3B8835D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06" name="Shape 5">
          <a:extLst>
            <a:ext uri="{FF2B5EF4-FFF2-40B4-BE49-F238E27FC236}">
              <a16:creationId xmlns:a16="http://schemas.microsoft.com/office/drawing/2014/main" id="{A5429CE5-4E09-4E09-A4B0-66C8FA8124C8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07" name="Shape 5">
          <a:extLst>
            <a:ext uri="{FF2B5EF4-FFF2-40B4-BE49-F238E27FC236}">
              <a16:creationId xmlns:a16="http://schemas.microsoft.com/office/drawing/2014/main" id="{526FE2D6-F576-46AE-904C-DCE3EB021DE8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08" name="Shape 5">
          <a:extLst>
            <a:ext uri="{FF2B5EF4-FFF2-40B4-BE49-F238E27FC236}">
              <a16:creationId xmlns:a16="http://schemas.microsoft.com/office/drawing/2014/main" id="{D4C220EB-EDD4-4606-AC41-28BFCDFA6D78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09" name="Shape 5">
          <a:extLst>
            <a:ext uri="{FF2B5EF4-FFF2-40B4-BE49-F238E27FC236}">
              <a16:creationId xmlns:a16="http://schemas.microsoft.com/office/drawing/2014/main" id="{AA80D9A2-A0DB-409C-969D-44EA24DE89C6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0" name="Shape 5">
          <a:extLst>
            <a:ext uri="{FF2B5EF4-FFF2-40B4-BE49-F238E27FC236}">
              <a16:creationId xmlns:a16="http://schemas.microsoft.com/office/drawing/2014/main" id="{DD408876-BCA9-49DB-BB00-91F6393C8DDD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1" name="Shape 5">
          <a:extLst>
            <a:ext uri="{FF2B5EF4-FFF2-40B4-BE49-F238E27FC236}">
              <a16:creationId xmlns:a16="http://schemas.microsoft.com/office/drawing/2014/main" id="{9C34C59C-B391-42D4-8FED-0D9440FF3F41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2" name="Shape 5">
          <a:extLst>
            <a:ext uri="{FF2B5EF4-FFF2-40B4-BE49-F238E27FC236}">
              <a16:creationId xmlns:a16="http://schemas.microsoft.com/office/drawing/2014/main" id="{2147FBD0-85B3-40D7-B24F-FE3B5520E315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3" name="Shape 5">
          <a:extLst>
            <a:ext uri="{FF2B5EF4-FFF2-40B4-BE49-F238E27FC236}">
              <a16:creationId xmlns:a16="http://schemas.microsoft.com/office/drawing/2014/main" id="{DABDC66D-C5A0-451E-A157-4C6FA560A51B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4" name="Shape 5">
          <a:extLst>
            <a:ext uri="{FF2B5EF4-FFF2-40B4-BE49-F238E27FC236}">
              <a16:creationId xmlns:a16="http://schemas.microsoft.com/office/drawing/2014/main" id="{563C3BE3-26B1-4812-823B-0A723C44AFBC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5" name="Shape 5">
          <a:extLst>
            <a:ext uri="{FF2B5EF4-FFF2-40B4-BE49-F238E27FC236}">
              <a16:creationId xmlns:a16="http://schemas.microsoft.com/office/drawing/2014/main" id="{FD23A9C6-6987-41EC-A299-39CC18D645AD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6" name="Shape 5">
          <a:extLst>
            <a:ext uri="{FF2B5EF4-FFF2-40B4-BE49-F238E27FC236}">
              <a16:creationId xmlns:a16="http://schemas.microsoft.com/office/drawing/2014/main" id="{3500BE2A-9797-445C-9EBC-DF473DC35847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7" name="Shape 5">
          <a:extLst>
            <a:ext uri="{FF2B5EF4-FFF2-40B4-BE49-F238E27FC236}">
              <a16:creationId xmlns:a16="http://schemas.microsoft.com/office/drawing/2014/main" id="{8F4496EE-6AEA-4429-B946-470F7FFD43D1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8" name="Shape 5">
          <a:extLst>
            <a:ext uri="{FF2B5EF4-FFF2-40B4-BE49-F238E27FC236}">
              <a16:creationId xmlns:a16="http://schemas.microsoft.com/office/drawing/2014/main" id="{9B92220A-A712-4000-8860-FAB5871E1012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19" name="Shape 5">
          <a:extLst>
            <a:ext uri="{FF2B5EF4-FFF2-40B4-BE49-F238E27FC236}">
              <a16:creationId xmlns:a16="http://schemas.microsoft.com/office/drawing/2014/main" id="{3F16E97E-2AD8-457D-A617-04F6BE4C3589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20" name="Shape 5">
          <a:extLst>
            <a:ext uri="{FF2B5EF4-FFF2-40B4-BE49-F238E27FC236}">
              <a16:creationId xmlns:a16="http://schemas.microsoft.com/office/drawing/2014/main" id="{604DDC68-F1EF-4DEB-9493-CBEB03D31203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21" name="Shape 5">
          <a:extLst>
            <a:ext uri="{FF2B5EF4-FFF2-40B4-BE49-F238E27FC236}">
              <a16:creationId xmlns:a16="http://schemas.microsoft.com/office/drawing/2014/main" id="{CA3BD1A4-F641-4E67-BFB6-975C26B4B8AB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154</xdr:row>
      <xdr:rowOff>0</xdr:rowOff>
    </xdr:from>
    <xdr:ext cx="38100" cy="9525"/>
    <xdr:sp macro="" textlink="">
      <xdr:nvSpPr>
        <xdr:cNvPr id="2222" name="Shape 5">
          <a:extLst>
            <a:ext uri="{FF2B5EF4-FFF2-40B4-BE49-F238E27FC236}">
              <a16:creationId xmlns:a16="http://schemas.microsoft.com/office/drawing/2014/main" id="{762B088B-48AD-42D3-8086-D3582C1D30ED}"/>
            </a:ext>
          </a:extLst>
        </xdr:cNvPr>
        <xdr:cNvSpPr/>
      </xdr:nvSpPr>
      <xdr:spPr>
        <a:xfrm>
          <a:off x="1466850" y="29908500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23" name="Shape 5">
          <a:extLst>
            <a:ext uri="{FF2B5EF4-FFF2-40B4-BE49-F238E27FC236}">
              <a16:creationId xmlns:a16="http://schemas.microsoft.com/office/drawing/2014/main" id="{2D1F854A-B8C5-46AD-9A45-BD6423669FFA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24" name="Shape 5">
          <a:extLst>
            <a:ext uri="{FF2B5EF4-FFF2-40B4-BE49-F238E27FC236}">
              <a16:creationId xmlns:a16="http://schemas.microsoft.com/office/drawing/2014/main" id="{9F1AB495-A9E6-433E-807A-29848D7B3DF3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25" name="Shape 5">
          <a:extLst>
            <a:ext uri="{FF2B5EF4-FFF2-40B4-BE49-F238E27FC236}">
              <a16:creationId xmlns:a16="http://schemas.microsoft.com/office/drawing/2014/main" id="{1196B2AE-4C17-407E-A30B-B1236E603EA9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26" name="Shape 5">
          <a:extLst>
            <a:ext uri="{FF2B5EF4-FFF2-40B4-BE49-F238E27FC236}">
              <a16:creationId xmlns:a16="http://schemas.microsoft.com/office/drawing/2014/main" id="{DD1E43B2-D182-495B-B622-F9E7EDF42E35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27" name="Shape 5">
          <a:extLst>
            <a:ext uri="{FF2B5EF4-FFF2-40B4-BE49-F238E27FC236}">
              <a16:creationId xmlns:a16="http://schemas.microsoft.com/office/drawing/2014/main" id="{110850D2-93DF-4ACC-B689-09625CF0A786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28" name="Shape 4">
          <a:extLst>
            <a:ext uri="{FF2B5EF4-FFF2-40B4-BE49-F238E27FC236}">
              <a16:creationId xmlns:a16="http://schemas.microsoft.com/office/drawing/2014/main" id="{37C63D4B-A8EB-49DC-BE80-244D6C814E08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29" name="Shape 5">
          <a:extLst>
            <a:ext uri="{FF2B5EF4-FFF2-40B4-BE49-F238E27FC236}">
              <a16:creationId xmlns:a16="http://schemas.microsoft.com/office/drawing/2014/main" id="{D4079826-C59F-4166-910E-3793D420A01B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30" name="Shape 4">
          <a:extLst>
            <a:ext uri="{FF2B5EF4-FFF2-40B4-BE49-F238E27FC236}">
              <a16:creationId xmlns:a16="http://schemas.microsoft.com/office/drawing/2014/main" id="{E4846415-72F2-4930-BBA1-149AA929D4FA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31" name="Shape 6">
          <a:extLst>
            <a:ext uri="{FF2B5EF4-FFF2-40B4-BE49-F238E27FC236}">
              <a16:creationId xmlns:a16="http://schemas.microsoft.com/office/drawing/2014/main" id="{022D38D6-1DEE-434D-902A-8370A997491B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32" name="Shape 6">
          <a:extLst>
            <a:ext uri="{FF2B5EF4-FFF2-40B4-BE49-F238E27FC236}">
              <a16:creationId xmlns:a16="http://schemas.microsoft.com/office/drawing/2014/main" id="{D0F3E4F6-AB75-410B-8E4B-D70134BB59BE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33" name="Shape 6">
          <a:extLst>
            <a:ext uri="{FF2B5EF4-FFF2-40B4-BE49-F238E27FC236}">
              <a16:creationId xmlns:a16="http://schemas.microsoft.com/office/drawing/2014/main" id="{0474E119-090E-4532-BF02-2140B7019596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34" name="Shape 6">
          <a:extLst>
            <a:ext uri="{FF2B5EF4-FFF2-40B4-BE49-F238E27FC236}">
              <a16:creationId xmlns:a16="http://schemas.microsoft.com/office/drawing/2014/main" id="{7403DA5B-61D4-4A36-A4A4-FBBC831BE9F7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35" name="Shape 6">
          <a:extLst>
            <a:ext uri="{FF2B5EF4-FFF2-40B4-BE49-F238E27FC236}">
              <a16:creationId xmlns:a16="http://schemas.microsoft.com/office/drawing/2014/main" id="{BC6505A3-5852-4488-8E42-28DED32DBB84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36" name="Shape 6">
          <a:extLst>
            <a:ext uri="{FF2B5EF4-FFF2-40B4-BE49-F238E27FC236}">
              <a16:creationId xmlns:a16="http://schemas.microsoft.com/office/drawing/2014/main" id="{6D2153EF-A783-4F68-A4EA-9DCEBBE8EEBB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37" name="Shape 6">
          <a:extLst>
            <a:ext uri="{FF2B5EF4-FFF2-40B4-BE49-F238E27FC236}">
              <a16:creationId xmlns:a16="http://schemas.microsoft.com/office/drawing/2014/main" id="{D73BAE23-13D1-4BDF-ACFF-4962C1016CF7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38" name="Shape 6">
          <a:extLst>
            <a:ext uri="{FF2B5EF4-FFF2-40B4-BE49-F238E27FC236}">
              <a16:creationId xmlns:a16="http://schemas.microsoft.com/office/drawing/2014/main" id="{952A7E36-86FC-4379-AEC6-17888638FD12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39" name="Shape 6">
          <a:extLst>
            <a:ext uri="{FF2B5EF4-FFF2-40B4-BE49-F238E27FC236}">
              <a16:creationId xmlns:a16="http://schemas.microsoft.com/office/drawing/2014/main" id="{B77DE9F8-EB74-4F7A-ACBC-E26FC6C18C3D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40" name="Shape 5">
          <a:extLst>
            <a:ext uri="{FF2B5EF4-FFF2-40B4-BE49-F238E27FC236}">
              <a16:creationId xmlns:a16="http://schemas.microsoft.com/office/drawing/2014/main" id="{CA8ED9FD-C35C-4405-AC8B-1BF49154D239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41" name="Shape 5">
          <a:extLst>
            <a:ext uri="{FF2B5EF4-FFF2-40B4-BE49-F238E27FC236}">
              <a16:creationId xmlns:a16="http://schemas.microsoft.com/office/drawing/2014/main" id="{AF1E8CFC-65D8-4DF1-886F-1BEB19961107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42" name="Shape 5">
          <a:extLst>
            <a:ext uri="{FF2B5EF4-FFF2-40B4-BE49-F238E27FC236}">
              <a16:creationId xmlns:a16="http://schemas.microsoft.com/office/drawing/2014/main" id="{820CE57F-1663-4DC6-871A-569DB009DB59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43" name="Shape 5">
          <a:extLst>
            <a:ext uri="{FF2B5EF4-FFF2-40B4-BE49-F238E27FC236}">
              <a16:creationId xmlns:a16="http://schemas.microsoft.com/office/drawing/2014/main" id="{6F5672F0-12E9-465A-BF14-D3185F8FF980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44" name="Shape 5">
          <a:extLst>
            <a:ext uri="{FF2B5EF4-FFF2-40B4-BE49-F238E27FC236}">
              <a16:creationId xmlns:a16="http://schemas.microsoft.com/office/drawing/2014/main" id="{5536D769-7384-43A4-8BA1-06BA3AB601FC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45" name="Shape 5">
          <a:extLst>
            <a:ext uri="{FF2B5EF4-FFF2-40B4-BE49-F238E27FC236}">
              <a16:creationId xmlns:a16="http://schemas.microsoft.com/office/drawing/2014/main" id="{AB339CE7-4D26-447C-A47F-93904B80C5A5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46" name="Shape 5">
          <a:extLst>
            <a:ext uri="{FF2B5EF4-FFF2-40B4-BE49-F238E27FC236}">
              <a16:creationId xmlns:a16="http://schemas.microsoft.com/office/drawing/2014/main" id="{587A5C8F-915D-4D8D-B8B3-97C7AB3E8038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47" name="Shape 5">
          <a:extLst>
            <a:ext uri="{FF2B5EF4-FFF2-40B4-BE49-F238E27FC236}">
              <a16:creationId xmlns:a16="http://schemas.microsoft.com/office/drawing/2014/main" id="{BF1968C4-CC8F-4A9B-B0E8-B1D544A95704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48" name="Shape 6">
          <a:extLst>
            <a:ext uri="{FF2B5EF4-FFF2-40B4-BE49-F238E27FC236}">
              <a16:creationId xmlns:a16="http://schemas.microsoft.com/office/drawing/2014/main" id="{32DCE5F0-8A54-4B4D-B28A-6492E5EEC598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49" name="Shape 6">
          <a:extLst>
            <a:ext uri="{FF2B5EF4-FFF2-40B4-BE49-F238E27FC236}">
              <a16:creationId xmlns:a16="http://schemas.microsoft.com/office/drawing/2014/main" id="{22FC4BF3-34F6-4896-8E48-5A484763EF27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50" name="Shape 6">
          <a:extLst>
            <a:ext uri="{FF2B5EF4-FFF2-40B4-BE49-F238E27FC236}">
              <a16:creationId xmlns:a16="http://schemas.microsoft.com/office/drawing/2014/main" id="{401C3D20-1575-40A4-95C7-F526E48F45C5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51" name="Shape 6">
          <a:extLst>
            <a:ext uri="{FF2B5EF4-FFF2-40B4-BE49-F238E27FC236}">
              <a16:creationId xmlns:a16="http://schemas.microsoft.com/office/drawing/2014/main" id="{0E96AC09-E5D6-4894-97E3-913425BBE405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52" name="Shape 6">
          <a:extLst>
            <a:ext uri="{FF2B5EF4-FFF2-40B4-BE49-F238E27FC236}">
              <a16:creationId xmlns:a16="http://schemas.microsoft.com/office/drawing/2014/main" id="{76C41B4C-15FA-4729-B449-373F19E6A129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53" name="Shape 7">
          <a:extLst>
            <a:ext uri="{FF2B5EF4-FFF2-40B4-BE49-F238E27FC236}">
              <a16:creationId xmlns:a16="http://schemas.microsoft.com/office/drawing/2014/main" id="{2DDDAFC8-9B0B-4FD4-9824-2E3D297CB98E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54" name="Shape 6">
          <a:extLst>
            <a:ext uri="{FF2B5EF4-FFF2-40B4-BE49-F238E27FC236}">
              <a16:creationId xmlns:a16="http://schemas.microsoft.com/office/drawing/2014/main" id="{32E25483-2CF6-42C2-B4D1-58DBECC8E9FE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55" name="Shape 7">
          <a:extLst>
            <a:ext uri="{FF2B5EF4-FFF2-40B4-BE49-F238E27FC236}">
              <a16:creationId xmlns:a16="http://schemas.microsoft.com/office/drawing/2014/main" id="{4127915F-6A6F-4BE8-BFBD-21805549728F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56" name="Shape 6">
          <a:extLst>
            <a:ext uri="{FF2B5EF4-FFF2-40B4-BE49-F238E27FC236}">
              <a16:creationId xmlns:a16="http://schemas.microsoft.com/office/drawing/2014/main" id="{16DB5EC4-B94E-4856-9616-CAEECE668E3F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57" name="Shape 6">
          <a:extLst>
            <a:ext uri="{FF2B5EF4-FFF2-40B4-BE49-F238E27FC236}">
              <a16:creationId xmlns:a16="http://schemas.microsoft.com/office/drawing/2014/main" id="{DE70B907-EFF9-43BE-9930-2CF7F426A92D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58" name="Shape 6">
          <a:extLst>
            <a:ext uri="{FF2B5EF4-FFF2-40B4-BE49-F238E27FC236}">
              <a16:creationId xmlns:a16="http://schemas.microsoft.com/office/drawing/2014/main" id="{3A1FAC58-3A7B-434B-B2F8-78E64F038D7C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59" name="Shape 6">
          <a:extLst>
            <a:ext uri="{FF2B5EF4-FFF2-40B4-BE49-F238E27FC236}">
              <a16:creationId xmlns:a16="http://schemas.microsoft.com/office/drawing/2014/main" id="{46F05212-0978-4AE3-8E98-25250E0F69C4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60" name="Shape 6">
          <a:extLst>
            <a:ext uri="{FF2B5EF4-FFF2-40B4-BE49-F238E27FC236}">
              <a16:creationId xmlns:a16="http://schemas.microsoft.com/office/drawing/2014/main" id="{5A5E05B2-89A4-498E-9B90-33D86291B912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61" name="Shape 6">
          <a:extLst>
            <a:ext uri="{FF2B5EF4-FFF2-40B4-BE49-F238E27FC236}">
              <a16:creationId xmlns:a16="http://schemas.microsoft.com/office/drawing/2014/main" id="{CA94E1F5-B91F-45D0-9277-33096DD6D2F9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62" name="Shape 5">
          <a:extLst>
            <a:ext uri="{FF2B5EF4-FFF2-40B4-BE49-F238E27FC236}">
              <a16:creationId xmlns:a16="http://schemas.microsoft.com/office/drawing/2014/main" id="{F6127CB3-D38F-493C-BA21-191AC110C8CD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63" name="Shape 5">
          <a:extLst>
            <a:ext uri="{FF2B5EF4-FFF2-40B4-BE49-F238E27FC236}">
              <a16:creationId xmlns:a16="http://schemas.microsoft.com/office/drawing/2014/main" id="{0B8C055F-9197-40E3-8718-ABDB126A1ED8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64" name="Shape 5">
          <a:extLst>
            <a:ext uri="{FF2B5EF4-FFF2-40B4-BE49-F238E27FC236}">
              <a16:creationId xmlns:a16="http://schemas.microsoft.com/office/drawing/2014/main" id="{F30985D6-4B8A-4A14-9A75-DFC056D29F44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65" name="Shape 5">
          <a:extLst>
            <a:ext uri="{FF2B5EF4-FFF2-40B4-BE49-F238E27FC236}">
              <a16:creationId xmlns:a16="http://schemas.microsoft.com/office/drawing/2014/main" id="{69164504-ABCF-4231-84EF-147B9854775F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66" name="Shape 5">
          <a:extLst>
            <a:ext uri="{FF2B5EF4-FFF2-40B4-BE49-F238E27FC236}">
              <a16:creationId xmlns:a16="http://schemas.microsoft.com/office/drawing/2014/main" id="{3B962B68-FDA8-4270-B687-6F629D0BB5E6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67" name="Shape 4">
          <a:extLst>
            <a:ext uri="{FF2B5EF4-FFF2-40B4-BE49-F238E27FC236}">
              <a16:creationId xmlns:a16="http://schemas.microsoft.com/office/drawing/2014/main" id="{13E954CB-3FB1-4B0C-83E8-BB3CDC457F6F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68" name="Shape 5">
          <a:extLst>
            <a:ext uri="{FF2B5EF4-FFF2-40B4-BE49-F238E27FC236}">
              <a16:creationId xmlns:a16="http://schemas.microsoft.com/office/drawing/2014/main" id="{0C277255-313D-4217-BF23-9DBA4D04703D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69" name="Shape 4">
          <a:extLst>
            <a:ext uri="{FF2B5EF4-FFF2-40B4-BE49-F238E27FC236}">
              <a16:creationId xmlns:a16="http://schemas.microsoft.com/office/drawing/2014/main" id="{5CB08598-3823-4B23-A1E5-D29D441FCEF8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0" name="Shape 5">
          <a:extLst>
            <a:ext uri="{FF2B5EF4-FFF2-40B4-BE49-F238E27FC236}">
              <a16:creationId xmlns:a16="http://schemas.microsoft.com/office/drawing/2014/main" id="{19CB4D2A-F659-4C2F-AE6C-4D64CF2A6F32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1" name="Shape 5">
          <a:extLst>
            <a:ext uri="{FF2B5EF4-FFF2-40B4-BE49-F238E27FC236}">
              <a16:creationId xmlns:a16="http://schemas.microsoft.com/office/drawing/2014/main" id="{1BAC388B-1B6F-4E6B-841C-84B481DDF365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2" name="Shape 5">
          <a:extLst>
            <a:ext uri="{FF2B5EF4-FFF2-40B4-BE49-F238E27FC236}">
              <a16:creationId xmlns:a16="http://schemas.microsoft.com/office/drawing/2014/main" id="{B34FB2A0-7BFD-4AE3-A9AA-F798D1D03E24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3" name="Shape 5">
          <a:extLst>
            <a:ext uri="{FF2B5EF4-FFF2-40B4-BE49-F238E27FC236}">
              <a16:creationId xmlns:a16="http://schemas.microsoft.com/office/drawing/2014/main" id="{6D381E1D-76C7-480C-9BA5-E332B64371B5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4" name="Shape 5">
          <a:extLst>
            <a:ext uri="{FF2B5EF4-FFF2-40B4-BE49-F238E27FC236}">
              <a16:creationId xmlns:a16="http://schemas.microsoft.com/office/drawing/2014/main" id="{4ECA2CC5-3E4D-4C00-95E9-2A5F5B023696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5" name="Shape 5">
          <a:extLst>
            <a:ext uri="{FF2B5EF4-FFF2-40B4-BE49-F238E27FC236}">
              <a16:creationId xmlns:a16="http://schemas.microsoft.com/office/drawing/2014/main" id="{204BE17F-2047-44B5-BD40-D62A6C10396E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6" name="Shape 5">
          <a:extLst>
            <a:ext uri="{FF2B5EF4-FFF2-40B4-BE49-F238E27FC236}">
              <a16:creationId xmlns:a16="http://schemas.microsoft.com/office/drawing/2014/main" id="{B7C09E9C-AD79-45C3-8EA3-F928C24ECDFB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7" name="Shape 5">
          <a:extLst>
            <a:ext uri="{FF2B5EF4-FFF2-40B4-BE49-F238E27FC236}">
              <a16:creationId xmlns:a16="http://schemas.microsoft.com/office/drawing/2014/main" id="{C834A2F7-66AB-4228-9E31-9C2F6E1B00C7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8" name="Shape 5">
          <a:extLst>
            <a:ext uri="{FF2B5EF4-FFF2-40B4-BE49-F238E27FC236}">
              <a16:creationId xmlns:a16="http://schemas.microsoft.com/office/drawing/2014/main" id="{2D8F39CC-E9F5-44E8-8BCC-9F14C5C23DB5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79" name="Shape 5">
          <a:extLst>
            <a:ext uri="{FF2B5EF4-FFF2-40B4-BE49-F238E27FC236}">
              <a16:creationId xmlns:a16="http://schemas.microsoft.com/office/drawing/2014/main" id="{8137285D-F6DC-40E9-8D22-8B1003D5C540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280" name="Shape 5">
          <a:extLst>
            <a:ext uri="{FF2B5EF4-FFF2-40B4-BE49-F238E27FC236}">
              <a16:creationId xmlns:a16="http://schemas.microsoft.com/office/drawing/2014/main" id="{46924ADC-0A99-4982-9E95-0FBEADB038C9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81" name="Shape 4">
          <a:extLst>
            <a:ext uri="{FF2B5EF4-FFF2-40B4-BE49-F238E27FC236}">
              <a16:creationId xmlns:a16="http://schemas.microsoft.com/office/drawing/2014/main" id="{31187460-1BAC-4D0B-895A-E9F7F4165732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82" name="Shape 4">
          <a:extLst>
            <a:ext uri="{FF2B5EF4-FFF2-40B4-BE49-F238E27FC236}">
              <a16:creationId xmlns:a16="http://schemas.microsoft.com/office/drawing/2014/main" id="{E4DBF000-183A-411C-B0A7-EAEC33CDF0B4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83" name="Shape 7">
          <a:extLst>
            <a:ext uri="{FF2B5EF4-FFF2-40B4-BE49-F238E27FC236}">
              <a16:creationId xmlns:a16="http://schemas.microsoft.com/office/drawing/2014/main" id="{C813346A-564C-4F4E-8FC7-D03453A72F50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84" name="Shape 7">
          <a:extLst>
            <a:ext uri="{FF2B5EF4-FFF2-40B4-BE49-F238E27FC236}">
              <a16:creationId xmlns:a16="http://schemas.microsoft.com/office/drawing/2014/main" id="{139DCB96-D2FA-457F-BCB1-3B6A3A007567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85" name="Shape 4">
          <a:extLst>
            <a:ext uri="{FF2B5EF4-FFF2-40B4-BE49-F238E27FC236}">
              <a16:creationId xmlns:a16="http://schemas.microsoft.com/office/drawing/2014/main" id="{16B5A3C0-9CAA-4BFC-915C-8CA70CB3A6EE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86" name="Shape 4">
          <a:extLst>
            <a:ext uri="{FF2B5EF4-FFF2-40B4-BE49-F238E27FC236}">
              <a16:creationId xmlns:a16="http://schemas.microsoft.com/office/drawing/2014/main" id="{4DD611AE-DFD1-4A90-BF8E-A9F53BCF7AFF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87" name="Shape 4">
          <a:extLst>
            <a:ext uri="{FF2B5EF4-FFF2-40B4-BE49-F238E27FC236}">
              <a16:creationId xmlns:a16="http://schemas.microsoft.com/office/drawing/2014/main" id="{279C10A1-8614-4E16-987E-227018A4F4B0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88" name="Shape 4">
          <a:extLst>
            <a:ext uri="{FF2B5EF4-FFF2-40B4-BE49-F238E27FC236}">
              <a16:creationId xmlns:a16="http://schemas.microsoft.com/office/drawing/2014/main" id="{FBB39946-364A-447D-AF98-7ECB0F1DA4FD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89" name="Shape 7">
          <a:extLst>
            <a:ext uri="{FF2B5EF4-FFF2-40B4-BE49-F238E27FC236}">
              <a16:creationId xmlns:a16="http://schemas.microsoft.com/office/drawing/2014/main" id="{7AFDF73E-EFA2-407A-AAD0-EDBFBA17B230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90" name="Shape 7">
          <a:extLst>
            <a:ext uri="{FF2B5EF4-FFF2-40B4-BE49-F238E27FC236}">
              <a16:creationId xmlns:a16="http://schemas.microsoft.com/office/drawing/2014/main" id="{AEBE1AEE-AD24-4E39-8B16-BD0EA52EF4C5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91" name="Shape 4">
          <a:extLst>
            <a:ext uri="{FF2B5EF4-FFF2-40B4-BE49-F238E27FC236}">
              <a16:creationId xmlns:a16="http://schemas.microsoft.com/office/drawing/2014/main" id="{3793E3F9-2845-4ABB-926C-274376620854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-19050</xdr:colOff>
      <xdr:row>165</xdr:row>
      <xdr:rowOff>0</xdr:rowOff>
    </xdr:from>
    <xdr:ext cx="38100" cy="9525"/>
    <xdr:sp macro="" textlink="">
      <xdr:nvSpPr>
        <xdr:cNvPr id="2292" name="Shape 4">
          <a:extLst>
            <a:ext uri="{FF2B5EF4-FFF2-40B4-BE49-F238E27FC236}">
              <a16:creationId xmlns:a16="http://schemas.microsoft.com/office/drawing/2014/main" id="{73BBF4C1-9855-4233-BF02-7E734FC53BE2}"/>
            </a:ext>
          </a:extLst>
        </xdr:cNvPr>
        <xdr:cNvSpPr/>
      </xdr:nvSpPr>
      <xdr:spPr>
        <a:xfrm>
          <a:off x="7577138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93" name="Shape 5">
          <a:extLst>
            <a:ext uri="{FF2B5EF4-FFF2-40B4-BE49-F238E27FC236}">
              <a16:creationId xmlns:a16="http://schemas.microsoft.com/office/drawing/2014/main" id="{AD2BCB36-503A-4A37-A411-CDD2F950F5E1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94" name="Shape 5">
          <a:extLst>
            <a:ext uri="{FF2B5EF4-FFF2-40B4-BE49-F238E27FC236}">
              <a16:creationId xmlns:a16="http://schemas.microsoft.com/office/drawing/2014/main" id="{CEEFC2E8-D022-449B-9061-5582EC5014F1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95" name="Shape 5">
          <a:extLst>
            <a:ext uri="{FF2B5EF4-FFF2-40B4-BE49-F238E27FC236}">
              <a16:creationId xmlns:a16="http://schemas.microsoft.com/office/drawing/2014/main" id="{A7E1DBF3-0E3C-482F-9EF1-80602A73002F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96" name="Shape 5">
          <a:extLst>
            <a:ext uri="{FF2B5EF4-FFF2-40B4-BE49-F238E27FC236}">
              <a16:creationId xmlns:a16="http://schemas.microsoft.com/office/drawing/2014/main" id="{0630045C-194D-496E-94D6-B53A51C22F16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97" name="Shape 5">
          <a:extLst>
            <a:ext uri="{FF2B5EF4-FFF2-40B4-BE49-F238E27FC236}">
              <a16:creationId xmlns:a16="http://schemas.microsoft.com/office/drawing/2014/main" id="{8E2A4CCC-0607-4A7C-B33B-4C3CD1B69629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98" name="Shape 5">
          <a:extLst>
            <a:ext uri="{FF2B5EF4-FFF2-40B4-BE49-F238E27FC236}">
              <a16:creationId xmlns:a16="http://schemas.microsoft.com/office/drawing/2014/main" id="{2621BE77-7022-4FA2-AB33-46356D1B5E84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299" name="Shape 6">
          <a:extLst>
            <a:ext uri="{FF2B5EF4-FFF2-40B4-BE49-F238E27FC236}">
              <a16:creationId xmlns:a16="http://schemas.microsoft.com/office/drawing/2014/main" id="{10D1AC73-042A-4F2D-9521-6F80A64C621B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300" name="Shape 6">
          <a:extLst>
            <a:ext uri="{FF2B5EF4-FFF2-40B4-BE49-F238E27FC236}">
              <a16:creationId xmlns:a16="http://schemas.microsoft.com/office/drawing/2014/main" id="{17BC14A8-94A7-433D-BEED-24CD432BF0B6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01" name="Shape 6">
          <a:extLst>
            <a:ext uri="{FF2B5EF4-FFF2-40B4-BE49-F238E27FC236}">
              <a16:creationId xmlns:a16="http://schemas.microsoft.com/office/drawing/2014/main" id="{EAC5D0CF-A0B0-4563-88BD-FA5F832FFCDC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302" name="Shape 6">
          <a:extLst>
            <a:ext uri="{FF2B5EF4-FFF2-40B4-BE49-F238E27FC236}">
              <a16:creationId xmlns:a16="http://schemas.microsoft.com/office/drawing/2014/main" id="{45024937-016E-46B1-BEF6-D0E968C6D78B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03" name="Shape 6">
          <a:extLst>
            <a:ext uri="{FF2B5EF4-FFF2-40B4-BE49-F238E27FC236}">
              <a16:creationId xmlns:a16="http://schemas.microsoft.com/office/drawing/2014/main" id="{CF7FC4F5-EB75-4B6E-A4D4-3FD45645A18E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04" name="Shape 6">
          <a:extLst>
            <a:ext uri="{FF2B5EF4-FFF2-40B4-BE49-F238E27FC236}">
              <a16:creationId xmlns:a16="http://schemas.microsoft.com/office/drawing/2014/main" id="{95876E13-3B57-4155-9196-D292438A6708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05" name="Shape 6">
          <a:extLst>
            <a:ext uri="{FF2B5EF4-FFF2-40B4-BE49-F238E27FC236}">
              <a16:creationId xmlns:a16="http://schemas.microsoft.com/office/drawing/2014/main" id="{FFAA9430-DC03-4B56-8285-9299AF5BADD3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06" name="Shape 6">
          <a:extLst>
            <a:ext uri="{FF2B5EF4-FFF2-40B4-BE49-F238E27FC236}">
              <a16:creationId xmlns:a16="http://schemas.microsoft.com/office/drawing/2014/main" id="{ECA19801-67B5-4261-8655-5AA6CA373147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07" name="Shape 6">
          <a:extLst>
            <a:ext uri="{FF2B5EF4-FFF2-40B4-BE49-F238E27FC236}">
              <a16:creationId xmlns:a16="http://schemas.microsoft.com/office/drawing/2014/main" id="{8D70F935-8A27-473C-9A37-F5266929BB1F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08" name="Shape 5">
          <a:extLst>
            <a:ext uri="{FF2B5EF4-FFF2-40B4-BE49-F238E27FC236}">
              <a16:creationId xmlns:a16="http://schemas.microsoft.com/office/drawing/2014/main" id="{0C104680-8BA8-4EE6-AF9C-4B48796F6CB4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09" name="Shape 5">
          <a:extLst>
            <a:ext uri="{FF2B5EF4-FFF2-40B4-BE49-F238E27FC236}">
              <a16:creationId xmlns:a16="http://schemas.microsoft.com/office/drawing/2014/main" id="{1A95149B-655C-44CC-AE12-A0C7D53284CE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10" name="Shape 5">
          <a:extLst>
            <a:ext uri="{FF2B5EF4-FFF2-40B4-BE49-F238E27FC236}">
              <a16:creationId xmlns:a16="http://schemas.microsoft.com/office/drawing/2014/main" id="{32F7CFCE-8E2B-4A08-A193-6D7A1A4219A5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11" name="Shape 5">
          <a:extLst>
            <a:ext uri="{FF2B5EF4-FFF2-40B4-BE49-F238E27FC236}">
              <a16:creationId xmlns:a16="http://schemas.microsoft.com/office/drawing/2014/main" id="{5E24B1D9-CA17-4A8C-B75A-6E825864809B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12" name="Shape 5">
          <a:extLst>
            <a:ext uri="{FF2B5EF4-FFF2-40B4-BE49-F238E27FC236}">
              <a16:creationId xmlns:a16="http://schemas.microsoft.com/office/drawing/2014/main" id="{295E8567-430C-4348-B94F-8C9DD51A1BF3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13" name="Shape 5">
          <a:extLst>
            <a:ext uri="{FF2B5EF4-FFF2-40B4-BE49-F238E27FC236}">
              <a16:creationId xmlns:a16="http://schemas.microsoft.com/office/drawing/2014/main" id="{4CD8964B-2326-4C98-8175-8FD13DEB1FC2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14" name="Shape 5">
          <a:extLst>
            <a:ext uri="{FF2B5EF4-FFF2-40B4-BE49-F238E27FC236}">
              <a16:creationId xmlns:a16="http://schemas.microsoft.com/office/drawing/2014/main" id="{53665A87-6E28-4008-8078-E96BD72F2846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15" name="Shape 5">
          <a:extLst>
            <a:ext uri="{FF2B5EF4-FFF2-40B4-BE49-F238E27FC236}">
              <a16:creationId xmlns:a16="http://schemas.microsoft.com/office/drawing/2014/main" id="{3CD28210-1BA8-464A-B36A-657D930088C9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316" name="Shape 6">
          <a:extLst>
            <a:ext uri="{FF2B5EF4-FFF2-40B4-BE49-F238E27FC236}">
              <a16:creationId xmlns:a16="http://schemas.microsoft.com/office/drawing/2014/main" id="{D5B63CAD-9D81-466B-9125-71D10D0FD31B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317" name="Shape 6">
          <a:extLst>
            <a:ext uri="{FF2B5EF4-FFF2-40B4-BE49-F238E27FC236}">
              <a16:creationId xmlns:a16="http://schemas.microsoft.com/office/drawing/2014/main" id="{4F8401A9-CEC2-4D28-A190-C69C4F4DFDB3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318" name="Shape 6">
          <a:extLst>
            <a:ext uri="{FF2B5EF4-FFF2-40B4-BE49-F238E27FC236}">
              <a16:creationId xmlns:a16="http://schemas.microsoft.com/office/drawing/2014/main" id="{E7903F59-0CDF-47D2-B7F3-481037B5B60C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319" name="Shape 6">
          <a:extLst>
            <a:ext uri="{FF2B5EF4-FFF2-40B4-BE49-F238E27FC236}">
              <a16:creationId xmlns:a16="http://schemas.microsoft.com/office/drawing/2014/main" id="{3F089B8F-3B26-48AB-97C1-D645940A7A2F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320" name="Shape 6">
          <a:extLst>
            <a:ext uri="{FF2B5EF4-FFF2-40B4-BE49-F238E27FC236}">
              <a16:creationId xmlns:a16="http://schemas.microsoft.com/office/drawing/2014/main" id="{A01C535D-177A-441A-A9A3-72974332F9E6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321" name="Shape 6">
          <a:extLst>
            <a:ext uri="{FF2B5EF4-FFF2-40B4-BE49-F238E27FC236}">
              <a16:creationId xmlns:a16="http://schemas.microsoft.com/office/drawing/2014/main" id="{38F7A5E9-DC71-4D80-910B-E3C764ECC5FA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28575" cy="9525"/>
    <xdr:sp macro="" textlink="">
      <xdr:nvSpPr>
        <xdr:cNvPr id="2322" name="Shape 6">
          <a:extLst>
            <a:ext uri="{FF2B5EF4-FFF2-40B4-BE49-F238E27FC236}">
              <a16:creationId xmlns:a16="http://schemas.microsoft.com/office/drawing/2014/main" id="{BEFAA3C4-B9B8-437E-94BC-41C6F571E76B}"/>
            </a:ext>
          </a:extLst>
        </xdr:cNvPr>
        <xdr:cNvSpPr/>
      </xdr:nvSpPr>
      <xdr:spPr>
        <a:xfrm>
          <a:off x="1466850" y="22717125"/>
          <a:ext cx="28575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23" name="Shape 6">
          <a:extLst>
            <a:ext uri="{FF2B5EF4-FFF2-40B4-BE49-F238E27FC236}">
              <a16:creationId xmlns:a16="http://schemas.microsoft.com/office/drawing/2014/main" id="{96417B22-9763-4115-B757-298A8A2F32A4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24" name="Shape 6">
          <a:extLst>
            <a:ext uri="{FF2B5EF4-FFF2-40B4-BE49-F238E27FC236}">
              <a16:creationId xmlns:a16="http://schemas.microsoft.com/office/drawing/2014/main" id="{0D884265-857A-4DC9-8DD5-35A22F9FF8E3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25" name="Shape 6">
          <a:extLst>
            <a:ext uri="{FF2B5EF4-FFF2-40B4-BE49-F238E27FC236}">
              <a16:creationId xmlns:a16="http://schemas.microsoft.com/office/drawing/2014/main" id="{80BB9C88-2968-4081-86A9-06F03F973E66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26" name="Shape 6">
          <a:extLst>
            <a:ext uri="{FF2B5EF4-FFF2-40B4-BE49-F238E27FC236}">
              <a16:creationId xmlns:a16="http://schemas.microsoft.com/office/drawing/2014/main" id="{E0284FF8-2B07-4015-BD49-70E566E425CB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27" name="Shape 6">
          <a:extLst>
            <a:ext uri="{FF2B5EF4-FFF2-40B4-BE49-F238E27FC236}">
              <a16:creationId xmlns:a16="http://schemas.microsoft.com/office/drawing/2014/main" id="{94C8A13E-6D91-46F4-92E3-98F0A70B8199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28" name="Shape 5">
          <a:extLst>
            <a:ext uri="{FF2B5EF4-FFF2-40B4-BE49-F238E27FC236}">
              <a16:creationId xmlns:a16="http://schemas.microsoft.com/office/drawing/2014/main" id="{C0FDD6E1-FA4E-49C0-9379-3A8E9E587793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29" name="Shape 5">
          <a:extLst>
            <a:ext uri="{FF2B5EF4-FFF2-40B4-BE49-F238E27FC236}">
              <a16:creationId xmlns:a16="http://schemas.microsoft.com/office/drawing/2014/main" id="{8A9D0F1E-FEF3-4A93-AA4C-43F69696C88E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0" name="Shape 5">
          <a:extLst>
            <a:ext uri="{FF2B5EF4-FFF2-40B4-BE49-F238E27FC236}">
              <a16:creationId xmlns:a16="http://schemas.microsoft.com/office/drawing/2014/main" id="{8FBDF968-B9CE-43D7-9655-037D719AE467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1" name="Shape 5">
          <a:extLst>
            <a:ext uri="{FF2B5EF4-FFF2-40B4-BE49-F238E27FC236}">
              <a16:creationId xmlns:a16="http://schemas.microsoft.com/office/drawing/2014/main" id="{E86EE207-CA91-4174-A4CA-B5516901F411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2" name="Shape 5">
          <a:extLst>
            <a:ext uri="{FF2B5EF4-FFF2-40B4-BE49-F238E27FC236}">
              <a16:creationId xmlns:a16="http://schemas.microsoft.com/office/drawing/2014/main" id="{923EABAD-11A3-4776-B7E3-23ACF5578D6F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3" name="Shape 5">
          <a:extLst>
            <a:ext uri="{FF2B5EF4-FFF2-40B4-BE49-F238E27FC236}">
              <a16:creationId xmlns:a16="http://schemas.microsoft.com/office/drawing/2014/main" id="{6764C118-D3F6-4CA7-BB56-74175E6F1AE5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4" name="Shape 5">
          <a:extLst>
            <a:ext uri="{FF2B5EF4-FFF2-40B4-BE49-F238E27FC236}">
              <a16:creationId xmlns:a16="http://schemas.microsoft.com/office/drawing/2014/main" id="{1C9FA0CF-DD8A-46A8-9CDF-FF14E3075C3E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5" name="Shape 5">
          <a:extLst>
            <a:ext uri="{FF2B5EF4-FFF2-40B4-BE49-F238E27FC236}">
              <a16:creationId xmlns:a16="http://schemas.microsoft.com/office/drawing/2014/main" id="{916EDBB1-F04F-42E7-9177-EB66E3BDE05E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6" name="Shape 5">
          <a:extLst>
            <a:ext uri="{FF2B5EF4-FFF2-40B4-BE49-F238E27FC236}">
              <a16:creationId xmlns:a16="http://schemas.microsoft.com/office/drawing/2014/main" id="{73CC5C88-256D-427D-AE19-3690A113730A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7" name="Shape 5">
          <a:extLst>
            <a:ext uri="{FF2B5EF4-FFF2-40B4-BE49-F238E27FC236}">
              <a16:creationId xmlns:a16="http://schemas.microsoft.com/office/drawing/2014/main" id="{2B2EDBA3-3B45-40CC-8928-116D86454931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8" name="Shape 5">
          <a:extLst>
            <a:ext uri="{FF2B5EF4-FFF2-40B4-BE49-F238E27FC236}">
              <a16:creationId xmlns:a16="http://schemas.microsoft.com/office/drawing/2014/main" id="{91FD1443-69C8-4C50-A7F8-D7D3C7467176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39" name="Shape 5">
          <a:extLst>
            <a:ext uri="{FF2B5EF4-FFF2-40B4-BE49-F238E27FC236}">
              <a16:creationId xmlns:a16="http://schemas.microsoft.com/office/drawing/2014/main" id="{86363CED-59E9-4E43-9580-DCE80F938BE3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40" name="Shape 5">
          <a:extLst>
            <a:ext uri="{FF2B5EF4-FFF2-40B4-BE49-F238E27FC236}">
              <a16:creationId xmlns:a16="http://schemas.microsoft.com/office/drawing/2014/main" id="{A11A06E2-7C6C-4C7B-972D-0AB4E2D3DA1D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41" name="Shape 5">
          <a:extLst>
            <a:ext uri="{FF2B5EF4-FFF2-40B4-BE49-F238E27FC236}">
              <a16:creationId xmlns:a16="http://schemas.microsoft.com/office/drawing/2014/main" id="{7D1B9487-3123-4297-90D1-B9093CD92E53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42" name="Shape 5">
          <a:extLst>
            <a:ext uri="{FF2B5EF4-FFF2-40B4-BE49-F238E27FC236}">
              <a16:creationId xmlns:a16="http://schemas.microsoft.com/office/drawing/2014/main" id="{69B03E67-B6A6-4690-A815-06CC0E7219D4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43" name="Shape 5">
          <a:extLst>
            <a:ext uri="{FF2B5EF4-FFF2-40B4-BE49-F238E27FC236}">
              <a16:creationId xmlns:a16="http://schemas.microsoft.com/office/drawing/2014/main" id="{97332588-6CC3-42E0-9810-850CF535E60E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-9525</xdr:colOff>
      <xdr:row>165</xdr:row>
      <xdr:rowOff>0</xdr:rowOff>
    </xdr:from>
    <xdr:ext cx="38100" cy="9525"/>
    <xdr:sp macro="" textlink="">
      <xdr:nvSpPr>
        <xdr:cNvPr id="2344" name="Shape 5">
          <a:extLst>
            <a:ext uri="{FF2B5EF4-FFF2-40B4-BE49-F238E27FC236}">
              <a16:creationId xmlns:a16="http://schemas.microsoft.com/office/drawing/2014/main" id="{3073AD4C-EC7C-41BD-B237-B6BD4FACCCDD}"/>
            </a:ext>
          </a:extLst>
        </xdr:cNvPr>
        <xdr:cNvSpPr/>
      </xdr:nvSpPr>
      <xdr:spPr>
        <a:xfrm>
          <a:off x="1466850" y="22717125"/>
          <a:ext cx="38100" cy="9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171854</xdr:colOff>
      <xdr:row>32</xdr:row>
      <xdr:rowOff>76199</xdr:rowOff>
    </xdr:from>
    <xdr:to>
      <xdr:col>4</xdr:col>
      <xdr:colOff>346363</xdr:colOff>
      <xdr:row>46</xdr:row>
      <xdr:rowOff>95343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317911-D1AE-4742-8FF7-7E562F4F2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854" y="6248399"/>
          <a:ext cx="2973127" cy="2540671"/>
        </a:xfrm>
        <a:prstGeom prst="rect">
          <a:avLst/>
        </a:prstGeom>
      </xdr:spPr>
    </xdr:pic>
    <xdr:clientData/>
  </xdr:twoCellAnchor>
  <xdr:twoCellAnchor editAs="oneCell">
    <xdr:from>
      <xdr:col>4</xdr:col>
      <xdr:colOff>430243</xdr:colOff>
      <xdr:row>32</xdr:row>
      <xdr:rowOff>76200</xdr:rowOff>
    </xdr:from>
    <xdr:to>
      <xdr:col>9</xdr:col>
      <xdr:colOff>62698</xdr:colOff>
      <xdr:row>46</xdr:row>
      <xdr:rowOff>124690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F75D1B-A29B-4449-B16D-C4FA93C9E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8861" y="6248400"/>
          <a:ext cx="2805146" cy="2570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3AF7B-25F6-4A6F-A6FA-EF5D52E8A26B}">
  <sheetPr>
    <tabColor rgb="FF0070C0"/>
    <pageSetUpPr fitToPage="1"/>
  </sheetPr>
  <dimension ref="A1:Z699"/>
  <sheetViews>
    <sheetView tabSelected="1" view="pageBreakPreview" topLeftCell="B79" zoomScale="80" zoomScaleNormal="80" zoomScaleSheetLayoutView="80" workbookViewId="0">
      <selection activeCell="F88" sqref="F88"/>
    </sheetView>
  </sheetViews>
  <sheetFormatPr defaultColWidth="14.42578125" defaultRowHeight="15" customHeight="1" x14ac:dyDescent="0.25"/>
  <cols>
    <col min="1" max="1" width="9.140625" style="16" customWidth="1"/>
    <col min="2" max="2" width="13" style="16" customWidth="1"/>
    <col min="3" max="3" width="71" style="16" customWidth="1"/>
    <col min="4" max="4" width="20.7109375" style="16" customWidth="1"/>
    <col min="5" max="5" width="22.42578125" style="16" bestFit="1" customWidth="1"/>
    <col min="6" max="6" width="13.140625" style="16" customWidth="1"/>
    <col min="7" max="7" width="14.5703125" style="16" customWidth="1"/>
    <col min="8" max="8" width="17.85546875" style="16" customWidth="1"/>
    <col min="9" max="9" width="10.140625" style="16" customWidth="1"/>
    <col min="10" max="10" width="11.7109375" style="16" customWidth="1"/>
    <col min="11" max="15" width="9.140625" style="16" customWidth="1"/>
    <col min="16" max="26" width="8.5703125" style="16" customWidth="1"/>
    <col min="27" max="16384" width="14.42578125" style="16"/>
  </cols>
  <sheetData>
    <row r="1" spans="1:26" ht="14.25" customHeight="1" x14ac:dyDescent="0.25">
      <c r="A1" s="14"/>
      <c r="B1" s="129" t="s">
        <v>30</v>
      </c>
      <c r="C1" s="130"/>
      <c r="D1" s="130"/>
      <c r="E1" s="130"/>
      <c r="F1" s="130"/>
      <c r="G1" s="130"/>
      <c r="H1" s="130"/>
      <c r="I1" s="130"/>
      <c r="J1" s="15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4.25" customHeight="1" x14ac:dyDescent="0.25">
      <c r="A2" s="14"/>
      <c r="B2" s="129" t="s">
        <v>31</v>
      </c>
      <c r="C2" s="130"/>
      <c r="D2" s="130"/>
      <c r="E2" s="130"/>
      <c r="F2" s="130"/>
      <c r="G2" s="130"/>
      <c r="H2" s="130"/>
      <c r="I2" s="130"/>
      <c r="J2" s="15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4.25" customHeight="1" x14ac:dyDescent="0.25">
      <c r="A3" s="14"/>
      <c r="B3" s="129" t="s">
        <v>32</v>
      </c>
      <c r="C3" s="130"/>
      <c r="D3" s="130"/>
      <c r="E3" s="130"/>
      <c r="F3" s="130"/>
      <c r="G3" s="130"/>
      <c r="H3" s="130"/>
      <c r="I3" s="130"/>
      <c r="J3" s="1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4.25" customHeight="1" x14ac:dyDescent="0.25">
      <c r="A4" s="14"/>
      <c r="B4" s="129" t="s">
        <v>33</v>
      </c>
      <c r="C4" s="130"/>
      <c r="D4" s="130"/>
      <c r="E4" s="130"/>
      <c r="F4" s="130"/>
      <c r="G4" s="130"/>
      <c r="H4" s="130"/>
      <c r="I4" s="130"/>
      <c r="J4" s="15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4.25" customHeight="1" x14ac:dyDescent="0.25">
      <c r="A5" s="14"/>
      <c r="B5" s="129" t="s">
        <v>34</v>
      </c>
      <c r="C5" s="130"/>
      <c r="D5" s="130"/>
      <c r="E5" s="130"/>
      <c r="F5" s="130"/>
      <c r="G5" s="130"/>
      <c r="H5" s="130"/>
      <c r="I5" s="130"/>
      <c r="J5" s="15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4.25" customHeight="1" x14ac:dyDescent="0.25">
      <c r="A6" s="14"/>
      <c r="B6" s="121" t="s">
        <v>35</v>
      </c>
      <c r="C6" s="122"/>
      <c r="D6" s="122"/>
      <c r="E6" s="122"/>
      <c r="F6" s="122"/>
      <c r="G6" s="122"/>
      <c r="H6" s="122"/>
      <c r="I6" s="122"/>
      <c r="J6" s="15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25" customHeight="1" x14ac:dyDescent="0.25">
      <c r="A7" s="14"/>
      <c r="B7" s="17"/>
      <c r="C7" s="123"/>
      <c r="D7" s="123"/>
      <c r="E7" s="123"/>
      <c r="F7" s="123"/>
      <c r="G7" s="123"/>
      <c r="H7" s="123"/>
      <c r="I7" s="124"/>
      <c r="J7" s="18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4.25" customHeight="1" x14ac:dyDescent="0.25">
      <c r="A8" s="14"/>
      <c r="B8" s="17"/>
      <c r="C8" s="125"/>
      <c r="D8" s="125"/>
      <c r="E8" s="125"/>
      <c r="F8" s="125"/>
      <c r="G8" s="125"/>
      <c r="H8" s="125"/>
      <c r="I8" s="126"/>
      <c r="J8" s="15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9.5" customHeight="1" x14ac:dyDescent="0.25">
      <c r="A9" s="14"/>
      <c r="B9" s="17"/>
      <c r="C9" s="127" t="s">
        <v>36</v>
      </c>
      <c r="D9" s="127"/>
      <c r="E9" s="127"/>
      <c r="F9" s="127"/>
      <c r="G9" s="127"/>
      <c r="H9" s="127"/>
      <c r="I9" s="127"/>
      <c r="J9" s="19"/>
      <c r="K9" s="19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customHeight="1" x14ac:dyDescent="0.25">
      <c r="A10" s="14"/>
      <c r="B10" s="17"/>
      <c r="C10" s="128" t="s">
        <v>37</v>
      </c>
      <c r="D10" s="128"/>
      <c r="E10" s="128"/>
      <c r="F10" s="128"/>
      <c r="G10" s="128"/>
      <c r="H10" s="128"/>
      <c r="I10" s="128"/>
      <c r="J10" s="131"/>
      <c r="K10" s="132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thickBot="1" x14ac:dyDescent="0.3">
      <c r="A11" s="14"/>
      <c r="B11" s="17"/>
      <c r="C11" s="155"/>
      <c r="D11" s="155"/>
      <c r="E11" s="155"/>
      <c r="F11" s="155"/>
      <c r="G11" s="155"/>
      <c r="H11" s="155"/>
      <c r="I11" s="156"/>
      <c r="J11" s="15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30" customHeight="1" thickBot="1" x14ac:dyDescent="0.3">
      <c r="A12" s="20"/>
      <c r="B12" s="133" t="s">
        <v>38</v>
      </c>
      <c r="C12" s="134"/>
      <c r="D12" s="134"/>
      <c r="E12" s="134"/>
      <c r="F12" s="134"/>
      <c r="G12" s="134"/>
      <c r="H12" s="134"/>
      <c r="I12" s="135"/>
      <c r="J12" s="21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6" customHeight="1" thickTop="1" thickBot="1" x14ac:dyDescent="0.3">
      <c r="A13" s="20"/>
      <c r="B13" s="22" t="s">
        <v>39</v>
      </c>
      <c r="C13" s="136" t="s">
        <v>40</v>
      </c>
      <c r="D13" s="137"/>
      <c r="E13" s="137"/>
      <c r="F13" s="137"/>
      <c r="G13" s="137"/>
      <c r="H13" s="137"/>
      <c r="I13" s="138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62" customFormat="1" ht="67.900000000000006" customHeight="1" thickTop="1" thickBot="1" x14ac:dyDescent="0.3">
      <c r="A14" s="20"/>
      <c r="B14" s="78">
        <v>100773</v>
      </c>
      <c r="C14" s="79" t="s">
        <v>91</v>
      </c>
      <c r="D14" s="80" t="s">
        <v>63</v>
      </c>
      <c r="E14" s="81">
        <f>QUADRA!F24</f>
        <v>11723.6808</v>
      </c>
      <c r="F14" s="82"/>
      <c r="G14" s="83">
        <f>SUM(E14)</f>
        <v>11723.6808</v>
      </c>
      <c r="H14" s="84">
        <f>G14</f>
        <v>11723.6808</v>
      </c>
      <c r="I14" s="85" t="s">
        <v>92</v>
      </c>
      <c r="J14" s="6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thickTop="1" x14ac:dyDescent="0.25">
      <c r="A15" s="20"/>
      <c r="B15" s="139" t="s">
        <v>101</v>
      </c>
      <c r="C15" s="142" t="s">
        <v>41</v>
      </c>
      <c r="D15" s="80" t="s">
        <v>63</v>
      </c>
      <c r="E15" s="86">
        <f>QUADRA!F23</f>
        <v>2452.7360000000003</v>
      </c>
      <c r="F15" s="82"/>
      <c r="G15" s="145">
        <f>SUM(E15:E24)</f>
        <v>33299.736000000004</v>
      </c>
      <c r="H15" s="149">
        <f>G15</f>
        <v>33299.736000000004</v>
      </c>
      <c r="I15" s="152" t="s">
        <v>92</v>
      </c>
      <c r="J15" s="119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x14ac:dyDescent="0.25">
      <c r="A16" s="20"/>
      <c r="B16" s="140"/>
      <c r="C16" s="143"/>
      <c r="D16" s="87" t="s">
        <v>42</v>
      </c>
      <c r="E16" s="86">
        <f>'BLOCO B'!F62</f>
        <v>2053</v>
      </c>
      <c r="F16" s="88"/>
      <c r="G16" s="146"/>
      <c r="H16" s="150"/>
      <c r="I16" s="153"/>
      <c r="J16" s="119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x14ac:dyDescent="0.25">
      <c r="A17" s="20"/>
      <c r="B17" s="140"/>
      <c r="C17" s="143"/>
      <c r="D17" s="89" t="s">
        <v>43</v>
      </c>
      <c r="E17" s="90">
        <f>'BLOCO C'!F44</f>
        <v>2212</v>
      </c>
      <c r="F17" s="91"/>
      <c r="G17" s="147"/>
      <c r="H17" s="150"/>
      <c r="I17" s="153"/>
      <c r="J17" s="1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x14ac:dyDescent="0.25">
      <c r="A18" s="20"/>
      <c r="B18" s="140"/>
      <c r="C18" s="143"/>
      <c r="D18" s="89" t="s">
        <v>44</v>
      </c>
      <c r="E18" s="90">
        <f>'BLOCO E'!F36</f>
        <v>1048</v>
      </c>
      <c r="F18" s="91"/>
      <c r="G18" s="147"/>
      <c r="H18" s="150"/>
      <c r="I18" s="153"/>
      <c r="J18" s="1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x14ac:dyDescent="0.25">
      <c r="A19" s="20"/>
      <c r="B19" s="140"/>
      <c r="C19" s="143"/>
      <c r="D19" s="89" t="s">
        <v>45</v>
      </c>
      <c r="E19" s="90">
        <f>'BLOCO F'!F45</f>
        <v>1939</v>
      </c>
      <c r="F19" s="91"/>
      <c r="G19" s="147"/>
      <c r="H19" s="150"/>
      <c r="I19" s="153"/>
      <c r="J19" s="1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x14ac:dyDescent="0.25">
      <c r="A20" s="20"/>
      <c r="B20" s="140"/>
      <c r="C20" s="143"/>
      <c r="D20" s="89" t="s">
        <v>26</v>
      </c>
      <c r="E20" s="90">
        <f>'BLOCO G'!E73</f>
        <v>1643</v>
      </c>
      <c r="F20" s="91"/>
      <c r="G20" s="147"/>
      <c r="H20" s="150"/>
      <c r="I20" s="153"/>
      <c r="J20" s="1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x14ac:dyDescent="0.25">
      <c r="A21" s="20"/>
      <c r="B21" s="140"/>
      <c r="C21" s="143"/>
      <c r="D21" s="89" t="s">
        <v>46</v>
      </c>
      <c r="E21" s="90">
        <f>'BLOCO H'!F82</f>
        <v>2269</v>
      </c>
      <c r="F21" s="91"/>
      <c r="G21" s="147"/>
      <c r="H21" s="150"/>
      <c r="I21" s="153"/>
      <c r="J21" s="1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x14ac:dyDescent="0.25">
      <c r="A22" s="20"/>
      <c r="B22" s="140"/>
      <c r="C22" s="143"/>
      <c r="D22" s="89" t="s">
        <v>47</v>
      </c>
      <c r="E22" s="90">
        <f>'BLOCO I'!F82</f>
        <v>2947</v>
      </c>
      <c r="F22" s="91"/>
      <c r="G22" s="147"/>
      <c r="H22" s="150"/>
      <c r="I22" s="153"/>
      <c r="J22" s="1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x14ac:dyDescent="0.25">
      <c r="A23" s="20"/>
      <c r="B23" s="140"/>
      <c r="C23" s="143"/>
      <c r="D23" s="92" t="s">
        <v>27</v>
      </c>
      <c r="E23" s="93">
        <f>'BLOCO J'!F86</f>
        <v>2947</v>
      </c>
      <c r="F23" s="91"/>
      <c r="G23" s="147"/>
      <c r="H23" s="150"/>
      <c r="I23" s="153"/>
      <c r="J23" s="1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thickBot="1" x14ac:dyDescent="0.3">
      <c r="A24" s="20"/>
      <c r="B24" s="141"/>
      <c r="C24" s="144"/>
      <c r="D24" s="94" t="s">
        <v>48</v>
      </c>
      <c r="E24" s="95">
        <f>PATIO!S223</f>
        <v>13789</v>
      </c>
      <c r="F24" s="96"/>
      <c r="G24" s="148"/>
      <c r="H24" s="151"/>
      <c r="I24" s="154"/>
      <c r="J24" s="1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thickTop="1" x14ac:dyDescent="0.25">
      <c r="A25" s="20"/>
      <c r="B25" s="139" t="s">
        <v>107</v>
      </c>
      <c r="C25" s="142" t="s">
        <v>64</v>
      </c>
      <c r="D25" s="80" t="s">
        <v>63</v>
      </c>
      <c r="E25" s="81"/>
      <c r="F25" s="82"/>
      <c r="G25" s="145">
        <f>SUM(E25:E34)</f>
        <v>1274</v>
      </c>
      <c r="H25" s="149">
        <f>G25</f>
        <v>1274</v>
      </c>
      <c r="I25" s="152" t="s">
        <v>92</v>
      </c>
      <c r="J25" s="119"/>
      <c r="K25" s="20" t="s">
        <v>65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x14ac:dyDescent="0.25">
      <c r="A26" s="20"/>
      <c r="B26" s="140"/>
      <c r="C26" s="143"/>
      <c r="D26" s="87" t="s">
        <v>42</v>
      </c>
      <c r="E26" s="86">
        <f>'BLOCO B'!F61</f>
        <v>80</v>
      </c>
      <c r="F26" s="88"/>
      <c r="G26" s="146"/>
      <c r="H26" s="150"/>
      <c r="I26" s="153"/>
      <c r="J26" s="119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x14ac:dyDescent="0.25">
      <c r="A27" s="20"/>
      <c r="B27" s="140"/>
      <c r="C27" s="143"/>
      <c r="D27" s="89" t="s">
        <v>43</v>
      </c>
      <c r="E27" s="90">
        <f>'BLOCO C'!F43</f>
        <v>100</v>
      </c>
      <c r="F27" s="91"/>
      <c r="G27" s="147"/>
      <c r="H27" s="150"/>
      <c r="I27" s="153"/>
      <c r="J27" s="1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x14ac:dyDescent="0.25">
      <c r="A28" s="20"/>
      <c r="B28" s="140"/>
      <c r="C28" s="143"/>
      <c r="D28" s="89" t="s">
        <v>44</v>
      </c>
      <c r="E28" s="90">
        <f>'BLOCO E'!F35</f>
        <v>48</v>
      </c>
      <c r="F28" s="91"/>
      <c r="G28" s="147"/>
      <c r="H28" s="150"/>
      <c r="I28" s="153"/>
      <c r="J28" s="1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x14ac:dyDescent="0.25">
      <c r="A29" s="20"/>
      <c r="B29" s="140"/>
      <c r="C29" s="143"/>
      <c r="D29" s="89" t="s">
        <v>45</v>
      </c>
      <c r="E29" s="90">
        <f>'BLOCO F'!F44</f>
        <v>96</v>
      </c>
      <c r="F29" s="91"/>
      <c r="G29" s="147"/>
      <c r="H29" s="150"/>
      <c r="I29" s="153"/>
      <c r="J29" s="1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x14ac:dyDescent="0.25">
      <c r="A30" s="20"/>
      <c r="B30" s="140"/>
      <c r="C30" s="143"/>
      <c r="D30" s="89" t="s">
        <v>26</v>
      </c>
      <c r="E30" s="90">
        <f>'BLOCO G'!E72</f>
        <v>90</v>
      </c>
      <c r="F30" s="91"/>
      <c r="G30" s="147"/>
      <c r="H30" s="150"/>
      <c r="I30" s="153"/>
      <c r="J30" s="1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x14ac:dyDescent="0.25">
      <c r="A31" s="20"/>
      <c r="B31" s="140"/>
      <c r="C31" s="143"/>
      <c r="D31" s="89" t="s">
        <v>46</v>
      </c>
      <c r="E31" s="90">
        <f>'BLOCO H'!F81</f>
        <v>132</v>
      </c>
      <c r="F31" s="91"/>
      <c r="G31" s="147"/>
      <c r="H31" s="150"/>
      <c r="I31" s="153"/>
      <c r="J31" s="1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x14ac:dyDescent="0.25">
      <c r="A32" s="20"/>
      <c r="B32" s="140"/>
      <c r="C32" s="143"/>
      <c r="D32" s="89" t="s">
        <v>47</v>
      </c>
      <c r="E32" s="90">
        <f>'BLOCO I'!F81</f>
        <v>178</v>
      </c>
      <c r="F32" s="91"/>
      <c r="G32" s="147"/>
      <c r="H32" s="150"/>
      <c r="I32" s="153"/>
      <c r="J32" s="1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x14ac:dyDescent="0.25">
      <c r="A33" s="20"/>
      <c r="B33" s="140"/>
      <c r="C33" s="143"/>
      <c r="D33" s="92" t="s">
        <v>27</v>
      </c>
      <c r="E33" s="93">
        <f>'BLOCO J'!F85</f>
        <v>178</v>
      </c>
      <c r="F33" s="91"/>
      <c r="G33" s="147"/>
      <c r="H33" s="150"/>
      <c r="I33" s="153"/>
      <c r="J33" s="1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thickBot="1" x14ac:dyDescent="0.3">
      <c r="A34" s="20"/>
      <c r="B34" s="141"/>
      <c r="C34" s="144"/>
      <c r="D34" s="94" t="s">
        <v>48</v>
      </c>
      <c r="E34" s="95">
        <f>PATIO!S222</f>
        <v>372</v>
      </c>
      <c r="F34" s="96"/>
      <c r="G34" s="148"/>
      <c r="H34" s="151"/>
      <c r="I34" s="154"/>
      <c r="J34" s="1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" customHeight="1" thickTop="1" x14ac:dyDescent="0.25">
      <c r="A35" s="20"/>
      <c r="B35" s="185" t="s">
        <v>106</v>
      </c>
      <c r="C35" s="183" t="s">
        <v>105</v>
      </c>
      <c r="D35" s="80" t="s">
        <v>63</v>
      </c>
      <c r="E35" s="80" t="s">
        <v>102</v>
      </c>
      <c r="F35" s="80"/>
      <c r="G35" s="145">
        <f>SUM(F35:F44)</f>
        <v>1047</v>
      </c>
      <c r="H35" s="187">
        <f>SUM(G35:G46)</f>
        <v>3545.0099999999998</v>
      </c>
      <c r="I35" s="189" t="s">
        <v>92</v>
      </c>
      <c r="J35" s="119"/>
      <c r="K35" s="20" t="s">
        <v>55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x14ac:dyDescent="0.25">
      <c r="A36" s="20"/>
      <c r="B36" s="140"/>
      <c r="C36" s="143"/>
      <c r="D36" s="87" t="s">
        <v>42</v>
      </c>
      <c r="E36" s="87" t="s">
        <v>102</v>
      </c>
      <c r="F36" s="87">
        <f>'BLOCO B'!F60</f>
        <v>74</v>
      </c>
      <c r="G36" s="146"/>
      <c r="H36" s="150"/>
      <c r="I36" s="153"/>
      <c r="J36" s="119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x14ac:dyDescent="0.25">
      <c r="A37" s="20"/>
      <c r="B37" s="140"/>
      <c r="C37" s="143"/>
      <c r="D37" s="89" t="s">
        <v>43</v>
      </c>
      <c r="E37" s="87" t="s">
        <v>102</v>
      </c>
      <c r="F37" s="89">
        <f>'BLOCO C'!F42</f>
        <v>70</v>
      </c>
      <c r="G37" s="147"/>
      <c r="H37" s="150"/>
      <c r="I37" s="153"/>
      <c r="J37" s="1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x14ac:dyDescent="0.25">
      <c r="A38" s="20"/>
      <c r="B38" s="140"/>
      <c r="C38" s="143"/>
      <c r="D38" s="89" t="s">
        <v>44</v>
      </c>
      <c r="E38" s="87" t="s">
        <v>102</v>
      </c>
      <c r="F38" s="89">
        <f>'BLOCO E'!F34</f>
        <v>42</v>
      </c>
      <c r="G38" s="147"/>
      <c r="H38" s="150"/>
      <c r="I38" s="153"/>
      <c r="J38" s="1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x14ac:dyDescent="0.25">
      <c r="A39" s="20"/>
      <c r="B39" s="140"/>
      <c r="C39" s="143"/>
      <c r="D39" s="89" t="s">
        <v>45</v>
      </c>
      <c r="E39" s="87" t="s">
        <v>102</v>
      </c>
      <c r="F39" s="89">
        <f>'BLOCO F'!F43</f>
        <v>84</v>
      </c>
      <c r="G39" s="147"/>
      <c r="H39" s="150"/>
      <c r="I39" s="153"/>
      <c r="J39" s="1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x14ac:dyDescent="0.25">
      <c r="A40" s="20"/>
      <c r="B40" s="140"/>
      <c r="C40" s="143"/>
      <c r="D40" s="89" t="s">
        <v>26</v>
      </c>
      <c r="E40" s="87" t="s">
        <v>102</v>
      </c>
      <c r="F40" s="89">
        <f>'BLOCO G'!E71</f>
        <v>60</v>
      </c>
      <c r="G40" s="147"/>
      <c r="H40" s="150"/>
      <c r="I40" s="153"/>
      <c r="J40" s="1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x14ac:dyDescent="0.25">
      <c r="A41" s="20"/>
      <c r="B41" s="140"/>
      <c r="C41" s="143"/>
      <c r="D41" s="89" t="s">
        <v>46</v>
      </c>
      <c r="E41" s="87" t="s">
        <v>102</v>
      </c>
      <c r="F41" s="89">
        <f>'BLOCO H'!F80</f>
        <v>90</v>
      </c>
      <c r="G41" s="147"/>
      <c r="H41" s="150"/>
      <c r="I41" s="153"/>
      <c r="J41" s="1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x14ac:dyDescent="0.25">
      <c r="A42" s="20"/>
      <c r="B42" s="140"/>
      <c r="C42" s="143"/>
      <c r="D42" s="89" t="s">
        <v>47</v>
      </c>
      <c r="E42" s="87" t="s">
        <v>102</v>
      </c>
      <c r="F42" s="89">
        <f>'BLOCO I'!F80</f>
        <v>120</v>
      </c>
      <c r="G42" s="147"/>
      <c r="H42" s="150"/>
      <c r="I42" s="153"/>
      <c r="J42" s="1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x14ac:dyDescent="0.25">
      <c r="A43" s="20"/>
      <c r="B43" s="140"/>
      <c r="C43" s="143"/>
      <c r="D43" s="92" t="s">
        <v>27</v>
      </c>
      <c r="E43" s="87" t="s">
        <v>102</v>
      </c>
      <c r="F43" s="92">
        <f>'BLOCO J'!F84</f>
        <v>120</v>
      </c>
      <c r="G43" s="147"/>
      <c r="H43" s="150"/>
      <c r="I43" s="153"/>
      <c r="J43" s="1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thickBot="1" x14ac:dyDescent="0.3">
      <c r="A44" s="20"/>
      <c r="B44" s="140"/>
      <c r="C44" s="143"/>
      <c r="D44" s="89" t="s">
        <v>48</v>
      </c>
      <c r="E44" s="87" t="s">
        <v>102</v>
      </c>
      <c r="F44" s="89">
        <f>PATIO!S221</f>
        <v>387</v>
      </c>
      <c r="G44" s="148"/>
      <c r="H44" s="150"/>
      <c r="I44" s="153"/>
      <c r="J44" s="1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s="62" customFormat="1" ht="16.5" thickTop="1" thickBot="1" x14ac:dyDescent="0.3">
      <c r="A45" s="20"/>
      <c r="B45" s="140"/>
      <c r="C45" s="143"/>
      <c r="D45" s="89" t="s">
        <v>63</v>
      </c>
      <c r="E45" s="87" t="s">
        <v>103</v>
      </c>
      <c r="F45" s="89">
        <f>QUADRA!F21</f>
        <v>2054.08</v>
      </c>
      <c r="G45" s="89">
        <f>F45</f>
        <v>2054.08</v>
      </c>
      <c r="H45" s="150"/>
      <c r="I45" s="153"/>
      <c r="J45" s="61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s="62" customFormat="1" ht="67.900000000000006" customHeight="1" thickTop="1" thickBot="1" x14ac:dyDescent="0.3">
      <c r="A46" s="20"/>
      <c r="B46" s="186"/>
      <c r="C46" s="184"/>
      <c r="D46" s="89" t="s">
        <v>63</v>
      </c>
      <c r="E46" s="87" t="s">
        <v>104</v>
      </c>
      <c r="F46" s="89">
        <f>QUADRA!F22</f>
        <v>443.93</v>
      </c>
      <c r="G46" s="83">
        <f>F46</f>
        <v>443.93</v>
      </c>
      <c r="H46" s="188"/>
      <c r="I46" s="190"/>
      <c r="J46" s="6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thickTop="1" x14ac:dyDescent="0.25">
      <c r="A47" s="20"/>
      <c r="B47" s="139" t="s">
        <v>97</v>
      </c>
      <c r="C47" s="142" t="s">
        <v>53</v>
      </c>
      <c r="D47" s="80" t="s">
        <v>63</v>
      </c>
      <c r="E47" s="81">
        <f>QUADRA!F25</f>
        <v>8009.7775000000001</v>
      </c>
      <c r="F47" s="82"/>
      <c r="G47" s="145">
        <f>SUM(E47:E56)</f>
        <v>10105.7775</v>
      </c>
      <c r="H47" s="149">
        <f>G47</f>
        <v>10105.7775</v>
      </c>
      <c r="I47" s="152" t="s">
        <v>92</v>
      </c>
      <c r="J47" s="119"/>
      <c r="K47" s="20" t="s">
        <v>52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x14ac:dyDescent="0.25">
      <c r="A48" s="20"/>
      <c r="B48" s="140"/>
      <c r="C48" s="143"/>
      <c r="D48" s="87" t="s">
        <v>42</v>
      </c>
      <c r="E48" s="86"/>
      <c r="F48" s="88"/>
      <c r="G48" s="146"/>
      <c r="H48" s="150"/>
      <c r="I48" s="153"/>
      <c r="J48" s="119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x14ac:dyDescent="0.25">
      <c r="A49" s="20"/>
      <c r="B49" s="140"/>
      <c r="C49" s="143"/>
      <c r="D49" s="89" t="s">
        <v>43</v>
      </c>
      <c r="E49" s="90"/>
      <c r="F49" s="91"/>
      <c r="G49" s="147"/>
      <c r="H49" s="150"/>
      <c r="I49" s="153"/>
      <c r="J49" s="1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x14ac:dyDescent="0.25">
      <c r="A50" s="20"/>
      <c r="B50" s="140"/>
      <c r="C50" s="143"/>
      <c r="D50" s="89" t="s">
        <v>44</v>
      </c>
      <c r="E50" s="90"/>
      <c r="F50" s="91"/>
      <c r="G50" s="147"/>
      <c r="H50" s="150"/>
      <c r="I50" s="153"/>
      <c r="J50" s="1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x14ac:dyDescent="0.25">
      <c r="A51" s="20"/>
      <c r="B51" s="140"/>
      <c r="C51" s="143"/>
      <c r="D51" s="89" t="s">
        <v>45</v>
      </c>
      <c r="E51" s="90"/>
      <c r="F51" s="91"/>
      <c r="G51" s="147"/>
      <c r="H51" s="150"/>
      <c r="I51" s="153"/>
      <c r="J51" s="120"/>
      <c r="K51" s="20" t="s">
        <v>54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x14ac:dyDescent="0.25">
      <c r="A52" s="20"/>
      <c r="B52" s="140"/>
      <c r="C52" s="143"/>
      <c r="D52" s="89" t="s">
        <v>26</v>
      </c>
      <c r="E52" s="90">
        <f>'BLOCO G'!E74</f>
        <v>208</v>
      </c>
      <c r="F52" s="91"/>
      <c r="G52" s="147"/>
      <c r="H52" s="150"/>
      <c r="I52" s="153"/>
      <c r="J52" s="1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x14ac:dyDescent="0.25">
      <c r="A53" s="20"/>
      <c r="B53" s="140"/>
      <c r="C53" s="143"/>
      <c r="D53" s="89" t="s">
        <v>46</v>
      </c>
      <c r="E53" s="90">
        <f>'BLOCO H'!F83</f>
        <v>312</v>
      </c>
      <c r="F53" s="91"/>
      <c r="G53" s="147"/>
      <c r="H53" s="150"/>
      <c r="I53" s="153"/>
      <c r="J53" s="1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x14ac:dyDescent="0.25">
      <c r="A54" s="20"/>
      <c r="B54" s="140"/>
      <c r="C54" s="143"/>
      <c r="D54" s="89" t="s">
        <v>47</v>
      </c>
      <c r="E54" s="90">
        <f>'BLOCO I'!F83</f>
        <v>364</v>
      </c>
      <c r="F54" s="91"/>
      <c r="G54" s="147"/>
      <c r="H54" s="150"/>
      <c r="I54" s="153"/>
      <c r="J54" s="1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x14ac:dyDescent="0.25">
      <c r="A55" s="20"/>
      <c r="B55" s="140"/>
      <c r="C55" s="143"/>
      <c r="D55" s="92" t="s">
        <v>27</v>
      </c>
      <c r="E55" s="93">
        <f>'BLOCO J'!F87</f>
        <v>364</v>
      </c>
      <c r="F55" s="91"/>
      <c r="G55" s="147"/>
      <c r="H55" s="150"/>
      <c r="I55" s="153"/>
      <c r="J55" s="1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thickBot="1" x14ac:dyDescent="0.3">
      <c r="A56" s="20"/>
      <c r="B56" s="141"/>
      <c r="C56" s="144"/>
      <c r="D56" s="94" t="s">
        <v>48</v>
      </c>
      <c r="E56" s="95">
        <f>PATIO!S224</f>
        <v>848</v>
      </c>
      <c r="F56" s="96"/>
      <c r="G56" s="148"/>
      <c r="H56" s="151"/>
      <c r="I56" s="154"/>
      <c r="J56" s="1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thickTop="1" x14ac:dyDescent="0.25">
      <c r="A57" s="20"/>
      <c r="B57" s="139" t="s">
        <v>108</v>
      </c>
      <c r="C57" s="142" t="s">
        <v>109</v>
      </c>
      <c r="D57" s="80" t="s">
        <v>63</v>
      </c>
      <c r="E57" s="81"/>
      <c r="F57" s="82"/>
      <c r="G57" s="145">
        <f>SUM(E57:E66)</f>
        <v>3258</v>
      </c>
      <c r="H57" s="149">
        <f>G57</f>
        <v>3258</v>
      </c>
      <c r="I57" s="152" t="s">
        <v>92</v>
      </c>
      <c r="J57" s="119"/>
      <c r="K57" s="20" t="s">
        <v>54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x14ac:dyDescent="0.25">
      <c r="A58" s="20"/>
      <c r="B58" s="140"/>
      <c r="C58" s="143"/>
      <c r="D58" s="87" t="s">
        <v>42</v>
      </c>
      <c r="E58" s="86"/>
      <c r="F58" s="88"/>
      <c r="G58" s="146"/>
      <c r="H58" s="150"/>
      <c r="I58" s="153"/>
      <c r="J58" s="119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x14ac:dyDescent="0.25">
      <c r="A59" s="20"/>
      <c r="B59" s="140"/>
      <c r="C59" s="143"/>
      <c r="D59" s="89" t="s">
        <v>43</v>
      </c>
      <c r="E59" s="90"/>
      <c r="F59" s="91"/>
      <c r="G59" s="147"/>
      <c r="H59" s="150"/>
      <c r="I59" s="153"/>
      <c r="J59" s="1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x14ac:dyDescent="0.25">
      <c r="A60" s="20"/>
      <c r="B60" s="140"/>
      <c r="C60" s="143"/>
      <c r="D60" s="89" t="s">
        <v>44</v>
      </c>
      <c r="E60" s="90"/>
      <c r="F60" s="91"/>
      <c r="G60" s="147"/>
      <c r="H60" s="150"/>
      <c r="I60" s="153"/>
      <c r="J60" s="1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x14ac:dyDescent="0.25">
      <c r="A61" s="20"/>
      <c r="B61" s="140"/>
      <c r="C61" s="143"/>
      <c r="D61" s="89" t="s">
        <v>45</v>
      </c>
      <c r="E61" s="90"/>
      <c r="F61" s="91"/>
      <c r="G61" s="147"/>
      <c r="H61" s="150"/>
      <c r="I61" s="153"/>
      <c r="J61" s="1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x14ac:dyDescent="0.25">
      <c r="A62" s="20"/>
      <c r="B62" s="140"/>
      <c r="C62" s="143"/>
      <c r="D62" s="89" t="s">
        <v>26</v>
      </c>
      <c r="E62" s="90">
        <f>'BLOCO G'!E75</f>
        <v>468</v>
      </c>
      <c r="F62" s="91"/>
      <c r="G62" s="147"/>
      <c r="H62" s="150"/>
      <c r="I62" s="153"/>
      <c r="J62" s="1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x14ac:dyDescent="0.25">
      <c r="A63" s="20"/>
      <c r="B63" s="140"/>
      <c r="C63" s="143"/>
      <c r="D63" s="89" t="s">
        <v>46</v>
      </c>
      <c r="E63" s="90">
        <f>'BLOCO H'!F84</f>
        <v>640</v>
      </c>
      <c r="F63" s="91"/>
      <c r="G63" s="147"/>
      <c r="H63" s="150"/>
      <c r="I63" s="153"/>
      <c r="J63" s="1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x14ac:dyDescent="0.25">
      <c r="A64" s="20"/>
      <c r="B64" s="140"/>
      <c r="C64" s="143"/>
      <c r="D64" s="89" t="s">
        <v>47</v>
      </c>
      <c r="E64" s="90">
        <f>'BLOCO I'!F84</f>
        <v>833</v>
      </c>
      <c r="F64" s="91"/>
      <c r="G64" s="147"/>
      <c r="H64" s="150"/>
      <c r="I64" s="153"/>
      <c r="J64" s="1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x14ac:dyDescent="0.25">
      <c r="A65" s="20"/>
      <c r="B65" s="140"/>
      <c r="C65" s="143"/>
      <c r="D65" s="92" t="s">
        <v>27</v>
      </c>
      <c r="E65" s="93">
        <f>'BLOCO J'!F88</f>
        <v>833</v>
      </c>
      <c r="F65" s="91"/>
      <c r="G65" s="147"/>
      <c r="H65" s="150"/>
      <c r="I65" s="153"/>
      <c r="J65" s="1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thickBot="1" x14ac:dyDescent="0.3">
      <c r="A66" s="20"/>
      <c r="B66" s="141"/>
      <c r="C66" s="144"/>
      <c r="D66" s="94" t="s">
        <v>48</v>
      </c>
      <c r="E66" s="95">
        <f>PATIO!S225</f>
        <v>484</v>
      </c>
      <c r="F66" s="96"/>
      <c r="G66" s="148"/>
      <c r="H66" s="151"/>
      <c r="I66" s="154"/>
      <c r="J66" s="1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thickTop="1" x14ac:dyDescent="0.25">
      <c r="A67" s="20"/>
      <c r="B67" s="139">
        <v>104314</v>
      </c>
      <c r="C67" s="142" t="s">
        <v>51</v>
      </c>
      <c r="D67" s="80" t="s">
        <v>63</v>
      </c>
      <c r="E67" s="81">
        <f>QUADRA!F27</f>
        <v>9011.9040000000005</v>
      </c>
      <c r="F67" s="82"/>
      <c r="G67" s="145">
        <f>SUM(E67:E76)</f>
        <v>22948.904000000002</v>
      </c>
      <c r="H67" s="149">
        <f>G67</f>
        <v>22948.904000000002</v>
      </c>
      <c r="I67" s="152" t="s">
        <v>92</v>
      </c>
      <c r="J67" s="119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x14ac:dyDescent="0.25">
      <c r="A68" s="20"/>
      <c r="B68" s="140"/>
      <c r="C68" s="143"/>
      <c r="D68" s="87" t="s">
        <v>42</v>
      </c>
      <c r="E68" s="86">
        <f>'BLOCO B'!F65</f>
        <v>742</v>
      </c>
      <c r="F68" s="88"/>
      <c r="G68" s="146"/>
      <c r="H68" s="150"/>
      <c r="I68" s="153"/>
      <c r="J68" s="119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x14ac:dyDescent="0.25">
      <c r="A69" s="20"/>
      <c r="B69" s="140"/>
      <c r="C69" s="143"/>
      <c r="D69" s="89" t="s">
        <v>43</v>
      </c>
      <c r="E69" s="90">
        <f>'BLOCO C'!F47</f>
        <v>808</v>
      </c>
      <c r="F69" s="91"/>
      <c r="G69" s="147"/>
      <c r="H69" s="150"/>
      <c r="I69" s="153"/>
      <c r="J69" s="1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x14ac:dyDescent="0.25">
      <c r="A70" s="20"/>
      <c r="B70" s="140"/>
      <c r="C70" s="143"/>
      <c r="D70" s="89" t="s">
        <v>44</v>
      </c>
      <c r="E70" s="90">
        <f>'BLOCO E'!F39</f>
        <v>360</v>
      </c>
      <c r="F70" s="91"/>
      <c r="G70" s="147"/>
      <c r="H70" s="150"/>
      <c r="I70" s="153"/>
      <c r="J70" s="1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x14ac:dyDescent="0.25">
      <c r="A71" s="20"/>
      <c r="B71" s="140"/>
      <c r="C71" s="143"/>
      <c r="D71" s="89" t="s">
        <v>45</v>
      </c>
      <c r="E71" s="90">
        <f>'BLOCO F'!F48</f>
        <v>864</v>
      </c>
      <c r="F71" s="91"/>
      <c r="G71" s="147"/>
      <c r="H71" s="150"/>
      <c r="I71" s="153"/>
      <c r="J71" s="1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x14ac:dyDescent="0.25">
      <c r="A72" s="20"/>
      <c r="B72" s="140"/>
      <c r="C72" s="143"/>
      <c r="D72" s="89" t="s">
        <v>26</v>
      </c>
      <c r="E72" s="90">
        <f>'BLOCO G'!E76</f>
        <v>772</v>
      </c>
      <c r="F72" s="91"/>
      <c r="G72" s="147"/>
      <c r="H72" s="150"/>
      <c r="I72" s="153"/>
      <c r="J72" s="1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x14ac:dyDescent="0.25">
      <c r="A73" s="20"/>
      <c r="B73" s="140"/>
      <c r="C73" s="143"/>
      <c r="D73" s="89" t="s">
        <v>46</v>
      </c>
      <c r="E73" s="90">
        <f>'BLOCO H'!F85</f>
        <v>1170</v>
      </c>
      <c r="F73" s="91"/>
      <c r="G73" s="147"/>
      <c r="H73" s="150"/>
      <c r="I73" s="153"/>
      <c r="J73" s="1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x14ac:dyDescent="0.25">
      <c r="A74" s="20"/>
      <c r="B74" s="140"/>
      <c r="C74" s="143"/>
      <c r="D74" s="89" t="s">
        <v>47</v>
      </c>
      <c r="E74" s="90">
        <f>'BLOCO I'!F85</f>
        <v>1561</v>
      </c>
      <c r="F74" s="91"/>
      <c r="G74" s="147"/>
      <c r="H74" s="150"/>
      <c r="I74" s="153"/>
      <c r="J74" s="1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x14ac:dyDescent="0.25">
      <c r="A75" s="20"/>
      <c r="B75" s="140"/>
      <c r="C75" s="143"/>
      <c r="D75" s="92" t="s">
        <v>27</v>
      </c>
      <c r="E75" s="93">
        <f>'BLOCO J'!F89</f>
        <v>1568</v>
      </c>
      <c r="F75" s="91"/>
      <c r="G75" s="147"/>
      <c r="H75" s="150"/>
      <c r="I75" s="153"/>
      <c r="J75" s="1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thickBot="1" x14ac:dyDescent="0.3">
      <c r="A76" s="20"/>
      <c r="B76" s="141"/>
      <c r="C76" s="144"/>
      <c r="D76" s="94" t="s">
        <v>48</v>
      </c>
      <c r="E76" s="95">
        <f>PATIO!S226</f>
        <v>6092</v>
      </c>
      <c r="F76" s="96"/>
      <c r="G76" s="148"/>
      <c r="H76" s="151"/>
      <c r="I76" s="154"/>
      <c r="J76" s="1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s="62" customFormat="1" ht="15.75" thickTop="1" x14ac:dyDescent="0.25">
      <c r="A77" s="20"/>
      <c r="B77" s="139" t="s">
        <v>112</v>
      </c>
      <c r="C77" s="142" t="s">
        <v>113</v>
      </c>
      <c r="D77" s="80" t="s">
        <v>63</v>
      </c>
      <c r="E77" s="81"/>
      <c r="F77" s="82"/>
      <c r="G77" s="145">
        <f>SUM(E77:E86)</f>
        <v>2819.02</v>
      </c>
      <c r="H77" s="149">
        <f>G77</f>
        <v>2819.02</v>
      </c>
      <c r="I77" s="152" t="s">
        <v>100</v>
      </c>
      <c r="J77" s="119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s="62" customFormat="1" x14ac:dyDescent="0.25">
      <c r="A78" s="20"/>
      <c r="B78" s="140"/>
      <c r="C78" s="143"/>
      <c r="D78" s="87" t="s">
        <v>42</v>
      </c>
      <c r="E78" s="86">
        <v>180.36</v>
      </c>
      <c r="F78" s="88"/>
      <c r="G78" s="146"/>
      <c r="H78" s="150"/>
      <c r="I78" s="153"/>
      <c r="J78" s="119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s="62" customFormat="1" x14ac:dyDescent="0.25">
      <c r="A79" s="20"/>
      <c r="B79" s="140"/>
      <c r="C79" s="143"/>
      <c r="D79" s="89" t="s">
        <v>43</v>
      </c>
      <c r="E79" s="90">
        <f>106.31+70.2</f>
        <v>176.51</v>
      </c>
      <c r="F79" s="91"/>
      <c r="G79" s="147"/>
      <c r="H79" s="150"/>
      <c r="I79" s="153"/>
      <c r="J79" s="1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s="62" customFormat="1" x14ac:dyDescent="0.25">
      <c r="A80" s="20"/>
      <c r="B80" s="140"/>
      <c r="C80" s="143"/>
      <c r="D80" s="89" t="s">
        <v>44</v>
      </c>
      <c r="E80" s="90">
        <v>85.55</v>
      </c>
      <c r="F80" s="91"/>
      <c r="G80" s="147"/>
      <c r="H80" s="150"/>
      <c r="I80" s="153"/>
      <c r="J80" s="1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s="62" customFormat="1" x14ac:dyDescent="0.25">
      <c r="A81" s="20"/>
      <c r="B81" s="140"/>
      <c r="C81" s="143"/>
      <c r="D81" s="89" t="s">
        <v>45</v>
      </c>
      <c r="E81" s="90">
        <v>215.45</v>
      </c>
      <c r="F81" s="91"/>
      <c r="G81" s="147"/>
      <c r="H81" s="150"/>
      <c r="I81" s="153"/>
      <c r="J81" s="1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s="62" customFormat="1" x14ac:dyDescent="0.25">
      <c r="A82" s="20"/>
      <c r="B82" s="140"/>
      <c r="C82" s="143"/>
      <c r="D82" s="89" t="s">
        <v>26</v>
      </c>
      <c r="E82" s="90">
        <v>135.66</v>
      </c>
      <c r="F82" s="91"/>
      <c r="G82" s="147"/>
      <c r="H82" s="150"/>
      <c r="I82" s="153"/>
      <c r="J82" s="1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s="62" customFormat="1" x14ac:dyDescent="0.25">
      <c r="A83" s="20"/>
      <c r="B83" s="140"/>
      <c r="C83" s="143"/>
      <c r="D83" s="89" t="s">
        <v>46</v>
      </c>
      <c r="E83" s="90">
        <v>204.91</v>
      </c>
      <c r="F83" s="91"/>
      <c r="G83" s="147"/>
      <c r="H83" s="150"/>
      <c r="I83" s="153"/>
      <c r="J83" s="1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s="62" customFormat="1" x14ac:dyDescent="0.25">
      <c r="A84" s="20"/>
      <c r="B84" s="140"/>
      <c r="C84" s="143"/>
      <c r="D84" s="89" t="s">
        <v>47</v>
      </c>
      <c r="E84" s="90">
        <v>273.62</v>
      </c>
      <c r="F84" s="91"/>
      <c r="G84" s="147"/>
      <c r="H84" s="150"/>
      <c r="I84" s="153"/>
      <c r="J84" s="1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s="62" customFormat="1" x14ac:dyDescent="0.25">
      <c r="A85" s="20"/>
      <c r="B85" s="140"/>
      <c r="C85" s="143"/>
      <c r="D85" s="92" t="s">
        <v>27</v>
      </c>
      <c r="E85" s="90">
        <v>273.62</v>
      </c>
      <c r="F85" s="91"/>
      <c r="G85" s="147"/>
      <c r="H85" s="150"/>
      <c r="I85" s="153"/>
      <c r="J85" s="1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s="62" customFormat="1" ht="15.75" thickBot="1" x14ac:dyDescent="0.3">
      <c r="A86" s="20"/>
      <c r="B86" s="141"/>
      <c r="C86" s="144"/>
      <c r="D86" s="94" t="s">
        <v>48</v>
      </c>
      <c r="E86" s="95">
        <f>52.27+52.27+25.89+39.44+25.43+18.28+616.5+18.71+148.71+164.56+111.28</f>
        <v>1273.3400000000001</v>
      </c>
      <c r="F86" s="96"/>
      <c r="G86" s="148"/>
      <c r="H86" s="151"/>
      <c r="I86" s="154"/>
      <c r="J86" s="1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s="62" customFormat="1" ht="67.900000000000006" customHeight="1" thickTop="1" thickBot="1" x14ac:dyDescent="0.3">
      <c r="A87" s="20"/>
      <c r="B87" s="78">
        <v>94213</v>
      </c>
      <c r="C87" s="79" t="s">
        <v>110</v>
      </c>
      <c r="D87" s="99" t="s">
        <v>63</v>
      </c>
      <c r="E87" s="100" t="s">
        <v>111</v>
      </c>
      <c r="F87" s="82">
        <f>55.3*38.48</f>
        <v>2127.9439999999995</v>
      </c>
      <c r="G87" s="83">
        <f>F87</f>
        <v>2127.9439999999995</v>
      </c>
      <c r="H87" s="84">
        <f>G87</f>
        <v>2127.9439999999995</v>
      </c>
      <c r="I87" s="85" t="s">
        <v>100</v>
      </c>
      <c r="J87" s="6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s="66" customFormat="1" ht="26.45" customHeight="1" thickTop="1" x14ac:dyDescent="0.25">
      <c r="A88" s="20"/>
      <c r="B88" s="160" t="s">
        <v>114</v>
      </c>
      <c r="C88" s="177" t="s">
        <v>115</v>
      </c>
      <c r="D88" s="101" t="s">
        <v>141</v>
      </c>
      <c r="E88" s="73">
        <v>11.84</v>
      </c>
      <c r="F88" s="102"/>
      <c r="G88" s="166">
        <f>SUM(E88:E93)</f>
        <v>149.59</v>
      </c>
      <c r="H88" s="170">
        <f>G88</f>
        <v>149.59</v>
      </c>
      <c r="I88" s="173" t="s">
        <v>146</v>
      </c>
      <c r="J88" s="1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s="66" customFormat="1" x14ac:dyDescent="0.25">
      <c r="A89" s="20"/>
      <c r="B89" s="161"/>
      <c r="C89" s="178"/>
      <c r="D89" s="30" t="s">
        <v>142</v>
      </c>
      <c r="E89" s="75">
        <v>33.83</v>
      </c>
      <c r="F89" s="29"/>
      <c r="G89" s="168"/>
      <c r="H89" s="171"/>
      <c r="I89" s="174"/>
      <c r="J89" s="1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s="66" customFormat="1" x14ac:dyDescent="0.25">
      <c r="A90" s="20"/>
      <c r="B90" s="161"/>
      <c r="C90" s="178"/>
      <c r="D90" s="30" t="s">
        <v>140</v>
      </c>
      <c r="E90" s="75">
        <v>15.83</v>
      </c>
      <c r="F90" s="29"/>
      <c r="G90" s="168"/>
      <c r="H90" s="171"/>
      <c r="I90" s="174"/>
      <c r="J90" s="1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s="66" customFormat="1" x14ac:dyDescent="0.25">
      <c r="A91" s="20"/>
      <c r="B91" s="161"/>
      <c r="C91" s="178"/>
      <c r="D91" s="30" t="s">
        <v>139</v>
      </c>
      <c r="E91" s="75">
        <v>24.13</v>
      </c>
      <c r="F91" s="29"/>
      <c r="G91" s="168"/>
      <c r="H91" s="171"/>
      <c r="I91" s="174"/>
      <c r="J91" s="1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s="66" customFormat="1" x14ac:dyDescent="0.25">
      <c r="A92" s="20"/>
      <c r="B92" s="161"/>
      <c r="C92" s="178"/>
      <c r="D92" s="30" t="s">
        <v>138</v>
      </c>
      <c r="E92" s="75">
        <v>31.98</v>
      </c>
      <c r="F92" s="29"/>
      <c r="G92" s="168"/>
      <c r="H92" s="171"/>
      <c r="I92" s="174"/>
      <c r="J92" s="1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s="66" customFormat="1" ht="15.75" thickBot="1" x14ac:dyDescent="0.3">
      <c r="A93" s="20"/>
      <c r="B93" s="161"/>
      <c r="C93" s="178"/>
      <c r="D93" s="30" t="s">
        <v>137</v>
      </c>
      <c r="E93" s="76">
        <v>31.98</v>
      </c>
      <c r="F93" s="29"/>
      <c r="G93" s="168"/>
      <c r="H93" s="171"/>
      <c r="I93" s="174"/>
      <c r="J93" s="1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s="66" customFormat="1" ht="26.45" customHeight="1" thickTop="1" x14ac:dyDescent="0.25">
      <c r="A94" s="20"/>
      <c r="B94" s="160" t="s">
        <v>116</v>
      </c>
      <c r="C94" s="177" t="s">
        <v>117</v>
      </c>
      <c r="D94" s="24" t="s">
        <v>42</v>
      </c>
      <c r="E94" s="73">
        <f>20.4*2</f>
        <v>40.799999999999997</v>
      </c>
      <c r="F94" s="25"/>
      <c r="G94" s="166">
        <f>SUM(E94:E100)</f>
        <v>322.49</v>
      </c>
      <c r="H94" s="170">
        <f>G94</f>
        <v>322.49</v>
      </c>
      <c r="I94" s="173" t="s">
        <v>146</v>
      </c>
      <c r="J94" s="119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s="66" customFormat="1" x14ac:dyDescent="0.25">
      <c r="A95" s="20"/>
      <c r="B95" s="161"/>
      <c r="C95" s="178"/>
      <c r="D95" s="28" t="s">
        <v>43</v>
      </c>
      <c r="E95" s="75">
        <f>7.75*2+11.81*2</f>
        <v>39.120000000000005</v>
      </c>
      <c r="F95" s="29"/>
      <c r="G95" s="167"/>
      <c r="H95" s="171"/>
      <c r="I95" s="174"/>
      <c r="J95" s="1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s="66" customFormat="1" x14ac:dyDescent="0.25">
      <c r="A96" s="20"/>
      <c r="B96" s="161"/>
      <c r="C96" s="178"/>
      <c r="D96" s="28" t="s">
        <v>26</v>
      </c>
      <c r="E96" s="75">
        <f>15.8*2</f>
        <v>31.6</v>
      </c>
      <c r="F96" s="29"/>
      <c r="G96" s="167"/>
      <c r="H96" s="171"/>
      <c r="I96" s="174"/>
      <c r="J96" s="1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s="66" customFormat="1" x14ac:dyDescent="0.25">
      <c r="A97" s="20"/>
      <c r="B97" s="161"/>
      <c r="C97" s="178"/>
      <c r="D97" s="28" t="s">
        <v>46</v>
      </c>
      <c r="E97" s="75">
        <f>23.88*2</f>
        <v>47.76</v>
      </c>
      <c r="F97" s="29"/>
      <c r="G97" s="167"/>
      <c r="H97" s="171"/>
      <c r="I97" s="174"/>
      <c r="J97" s="1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s="66" customFormat="1" x14ac:dyDescent="0.25">
      <c r="A98" s="20"/>
      <c r="B98" s="161"/>
      <c r="C98" s="178"/>
      <c r="D98" s="28" t="s">
        <v>47</v>
      </c>
      <c r="E98" s="75">
        <f>31.9*2</f>
        <v>63.8</v>
      </c>
      <c r="F98" s="29"/>
      <c r="G98" s="167"/>
      <c r="H98" s="171"/>
      <c r="I98" s="174"/>
      <c r="J98" s="1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s="66" customFormat="1" x14ac:dyDescent="0.25">
      <c r="A99" s="20"/>
      <c r="B99" s="161"/>
      <c r="C99" s="178"/>
      <c r="D99" s="30" t="s">
        <v>27</v>
      </c>
      <c r="E99" s="75">
        <f>31.9*2</f>
        <v>63.8</v>
      </c>
      <c r="F99" s="29"/>
      <c r="G99" s="167"/>
      <c r="H99" s="171"/>
      <c r="I99" s="174"/>
      <c r="J99" s="1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s="66" customFormat="1" ht="15.75" thickBot="1" x14ac:dyDescent="0.3">
      <c r="A100" s="20"/>
      <c r="B100" s="176"/>
      <c r="C100" s="179"/>
      <c r="D100" s="103" t="s">
        <v>143</v>
      </c>
      <c r="E100" s="104">
        <f>13.8+21.81</f>
        <v>35.61</v>
      </c>
      <c r="F100" s="105"/>
      <c r="G100" s="180"/>
      <c r="H100" s="181"/>
      <c r="I100" s="182"/>
      <c r="J100" s="1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s="66" customFormat="1" ht="15" customHeight="1" thickTop="1" x14ac:dyDescent="0.25">
      <c r="A101" s="20"/>
      <c r="B101" s="160" t="s">
        <v>118</v>
      </c>
      <c r="C101" s="177" t="s">
        <v>119</v>
      </c>
      <c r="D101" s="24" t="s">
        <v>63</v>
      </c>
      <c r="E101" s="73">
        <f>55.3*2</f>
        <v>110.6</v>
      </c>
      <c r="F101" s="25"/>
      <c r="G101" s="166">
        <f>SUM(E101:E103)</f>
        <v>189.39999999999998</v>
      </c>
      <c r="H101" s="170">
        <f>G101</f>
        <v>189.39999999999998</v>
      </c>
      <c r="I101" s="173" t="s">
        <v>146</v>
      </c>
      <c r="J101" s="119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s="66" customFormat="1" x14ac:dyDescent="0.25">
      <c r="A102" s="20"/>
      <c r="B102" s="161"/>
      <c r="C102" s="178"/>
      <c r="D102" s="28" t="s">
        <v>44</v>
      </c>
      <c r="E102" s="75">
        <f>11.6*2</f>
        <v>23.2</v>
      </c>
      <c r="F102" s="29"/>
      <c r="G102" s="167"/>
      <c r="H102" s="171"/>
      <c r="I102" s="174"/>
      <c r="J102" s="1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s="66" customFormat="1" ht="15.75" thickBot="1" x14ac:dyDescent="0.3">
      <c r="A103" s="20"/>
      <c r="B103" s="161"/>
      <c r="C103" s="178"/>
      <c r="D103" s="30" t="s">
        <v>45</v>
      </c>
      <c r="E103" s="76">
        <f>27.8*2</f>
        <v>55.6</v>
      </c>
      <c r="F103" s="29"/>
      <c r="G103" s="167"/>
      <c r="H103" s="171"/>
      <c r="I103" s="174"/>
      <c r="J103" s="1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s="66" customFormat="1" ht="38.450000000000003" customHeight="1" thickTop="1" thickBot="1" x14ac:dyDescent="0.3">
      <c r="A104" s="20"/>
      <c r="B104" s="106" t="s">
        <v>120</v>
      </c>
      <c r="C104" s="107" t="s">
        <v>121</v>
      </c>
      <c r="D104" s="108" t="s">
        <v>144</v>
      </c>
      <c r="E104" s="109">
        <v>20.7</v>
      </c>
      <c r="F104" s="110"/>
      <c r="G104" s="113">
        <f>SUM(E104)</f>
        <v>20.7</v>
      </c>
      <c r="H104" s="114">
        <f>G104</f>
        <v>20.7</v>
      </c>
      <c r="I104" s="111" t="s">
        <v>146</v>
      </c>
      <c r="J104" s="68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s="66" customFormat="1" ht="39" customHeight="1" thickTop="1" thickBot="1" x14ac:dyDescent="0.3">
      <c r="A105" s="20"/>
      <c r="B105" s="97" t="s">
        <v>122</v>
      </c>
      <c r="C105" s="98" t="s">
        <v>123</v>
      </c>
      <c r="D105" s="31" t="s">
        <v>145</v>
      </c>
      <c r="E105" s="77">
        <f>56.56*2</f>
        <v>113.12</v>
      </c>
      <c r="F105" s="32"/>
      <c r="G105" s="70">
        <f>SUM(E105)</f>
        <v>113.12</v>
      </c>
      <c r="H105" s="71">
        <f>G105</f>
        <v>113.12</v>
      </c>
      <c r="I105" s="111" t="s">
        <v>146</v>
      </c>
      <c r="J105" s="69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s="66" customFormat="1" ht="27" customHeight="1" thickTop="1" x14ac:dyDescent="0.25">
      <c r="A106" s="20"/>
      <c r="B106" s="160" t="s">
        <v>124</v>
      </c>
      <c r="C106" s="163" t="s">
        <v>125</v>
      </c>
      <c r="D106" s="26" t="s">
        <v>42</v>
      </c>
      <c r="E106" s="86">
        <f>31.48+11</f>
        <v>42.480000000000004</v>
      </c>
      <c r="F106" s="27"/>
      <c r="G106" s="166">
        <f>SUM(E106:E121)</f>
        <v>369.26</v>
      </c>
      <c r="H106" s="170">
        <f>G106</f>
        <v>369.26</v>
      </c>
      <c r="I106" s="173" t="s">
        <v>146</v>
      </c>
      <c r="J106" s="119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s="66" customFormat="1" x14ac:dyDescent="0.25">
      <c r="A107" s="20"/>
      <c r="B107" s="161"/>
      <c r="C107" s="164"/>
      <c r="D107" s="28" t="s">
        <v>43</v>
      </c>
      <c r="E107" s="90">
        <f>9.01+10.05+9.4+0.8</f>
        <v>29.26</v>
      </c>
      <c r="F107" s="29"/>
      <c r="G107" s="167"/>
      <c r="H107" s="171"/>
      <c r="I107" s="174"/>
      <c r="J107" s="1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s="66" customFormat="1" x14ac:dyDescent="0.25">
      <c r="A108" s="20"/>
      <c r="B108" s="161"/>
      <c r="C108" s="164"/>
      <c r="D108" s="28" t="s">
        <v>44</v>
      </c>
      <c r="E108" s="90">
        <f>7.25*2</f>
        <v>14.5</v>
      </c>
      <c r="F108" s="29"/>
      <c r="G108" s="167"/>
      <c r="H108" s="171"/>
      <c r="I108" s="174"/>
      <c r="J108" s="1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s="66" customFormat="1" x14ac:dyDescent="0.25">
      <c r="A109" s="20"/>
      <c r="B109" s="161"/>
      <c r="C109" s="164"/>
      <c r="D109" s="28" t="s">
        <v>45</v>
      </c>
      <c r="E109" s="90">
        <f>7.75*2</f>
        <v>15.5</v>
      </c>
      <c r="F109" s="29"/>
      <c r="G109" s="167"/>
      <c r="H109" s="171"/>
      <c r="I109" s="174"/>
      <c r="J109" s="1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s="66" customFormat="1" x14ac:dyDescent="0.25">
      <c r="A110" s="20"/>
      <c r="B110" s="161"/>
      <c r="C110" s="164"/>
      <c r="D110" s="28" t="s">
        <v>26</v>
      </c>
      <c r="E110" s="90">
        <f>2.05*2+8.19+11.03+0.2*10</f>
        <v>25.32</v>
      </c>
      <c r="F110" s="29"/>
      <c r="G110" s="167"/>
      <c r="H110" s="171"/>
      <c r="I110" s="174"/>
      <c r="J110" s="1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s="66" customFormat="1" x14ac:dyDescent="0.25">
      <c r="A111" s="20"/>
      <c r="B111" s="161"/>
      <c r="C111" s="164"/>
      <c r="D111" s="28" t="s">
        <v>46</v>
      </c>
      <c r="E111" s="90">
        <f>4.3+2+8.2+2.55+2.55+8.2+10.45+16.2</f>
        <v>54.45</v>
      </c>
      <c r="F111" s="29"/>
      <c r="G111" s="167"/>
      <c r="H111" s="171"/>
      <c r="I111" s="174"/>
      <c r="J111" s="1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s="66" customFormat="1" x14ac:dyDescent="0.25">
      <c r="A112" s="20"/>
      <c r="B112" s="161"/>
      <c r="C112" s="164"/>
      <c r="D112" s="28" t="s">
        <v>47</v>
      </c>
      <c r="E112" s="90">
        <f>(2.55*2+8.2)*2+11</f>
        <v>37.599999999999994</v>
      </c>
      <c r="F112" s="29"/>
      <c r="G112" s="167"/>
      <c r="H112" s="171"/>
      <c r="I112" s="174"/>
      <c r="J112" s="1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s="66" customFormat="1" x14ac:dyDescent="0.25">
      <c r="A113" s="20"/>
      <c r="B113" s="161"/>
      <c r="C113" s="164"/>
      <c r="D113" s="30" t="s">
        <v>27</v>
      </c>
      <c r="E113" s="90">
        <f>(2.55*2+8.2)*2+11</f>
        <v>37.599999999999994</v>
      </c>
      <c r="F113" s="29"/>
      <c r="G113" s="167"/>
      <c r="H113" s="171"/>
      <c r="I113" s="174"/>
      <c r="J113" s="1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s="72" customFormat="1" x14ac:dyDescent="0.25">
      <c r="A114" s="20"/>
      <c r="B114" s="161"/>
      <c r="C114" s="164"/>
      <c r="D114" s="30" t="s">
        <v>140</v>
      </c>
      <c r="E114" s="90">
        <v>2</v>
      </c>
      <c r="F114" s="29"/>
      <c r="G114" s="167"/>
      <c r="H114" s="171"/>
      <c r="I114" s="174"/>
      <c r="J114" s="1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s="72" customFormat="1" x14ac:dyDescent="0.25">
      <c r="A115" s="20"/>
      <c r="B115" s="161"/>
      <c r="C115" s="164"/>
      <c r="D115" s="30" t="s">
        <v>139</v>
      </c>
      <c r="E115" s="90">
        <f>1.84</f>
        <v>1.84</v>
      </c>
      <c r="F115" s="29"/>
      <c r="G115" s="167"/>
      <c r="H115" s="171"/>
      <c r="I115" s="174"/>
      <c r="J115" s="1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s="72" customFormat="1" x14ac:dyDescent="0.25">
      <c r="A116" s="20"/>
      <c r="B116" s="161"/>
      <c r="C116" s="164"/>
      <c r="D116" s="30" t="s">
        <v>138</v>
      </c>
      <c r="E116" s="90">
        <f>1.98</f>
        <v>1.98</v>
      </c>
      <c r="F116" s="29"/>
      <c r="G116" s="167"/>
      <c r="H116" s="171"/>
      <c r="I116" s="174"/>
      <c r="J116" s="1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s="72" customFormat="1" x14ac:dyDescent="0.25">
      <c r="A117" s="20"/>
      <c r="B117" s="161"/>
      <c r="C117" s="164"/>
      <c r="D117" s="30" t="s">
        <v>137</v>
      </c>
      <c r="E117" s="90">
        <f>1.98</f>
        <v>1.98</v>
      </c>
      <c r="F117" s="29"/>
      <c r="G117" s="167"/>
      <c r="H117" s="171"/>
      <c r="I117" s="174"/>
      <c r="J117" s="1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s="72" customFormat="1" x14ac:dyDescent="0.25">
      <c r="A118" s="20"/>
      <c r="B118" s="161"/>
      <c r="C118" s="164"/>
      <c r="D118" s="30" t="s">
        <v>141</v>
      </c>
      <c r="E118" s="90">
        <f>1.55+6.52</f>
        <v>8.07</v>
      </c>
      <c r="F118" s="29"/>
      <c r="G118" s="167"/>
      <c r="H118" s="171"/>
      <c r="I118" s="174"/>
      <c r="J118" s="1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s="72" customFormat="1" x14ac:dyDescent="0.25">
      <c r="A119" s="20"/>
      <c r="B119" s="161"/>
      <c r="C119" s="164"/>
      <c r="D119" s="30" t="s">
        <v>144</v>
      </c>
      <c r="E119" s="86">
        <f>30.38+23.85+4.05</f>
        <v>58.28</v>
      </c>
      <c r="F119" s="27"/>
      <c r="G119" s="167"/>
      <c r="H119" s="171"/>
      <c r="I119" s="174"/>
      <c r="J119" s="1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s="72" customFormat="1" x14ac:dyDescent="0.25">
      <c r="A120" s="20"/>
      <c r="B120" s="161"/>
      <c r="C120" s="164"/>
      <c r="D120" s="30" t="s">
        <v>142</v>
      </c>
      <c r="E120" s="90">
        <f>3.5+20.2+19*0.2</f>
        <v>27.5</v>
      </c>
      <c r="F120" s="29"/>
      <c r="G120" s="167"/>
      <c r="H120" s="171"/>
      <c r="I120" s="174"/>
      <c r="J120" s="1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s="72" customFormat="1" ht="26.25" thickBot="1" x14ac:dyDescent="0.3">
      <c r="A121" s="20"/>
      <c r="B121" s="161"/>
      <c r="C121" s="164"/>
      <c r="D121" s="30" t="s">
        <v>145</v>
      </c>
      <c r="E121" s="93">
        <f>10.9</f>
        <v>10.9</v>
      </c>
      <c r="F121" s="29"/>
      <c r="G121" s="167"/>
      <c r="H121" s="171"/>
      <c r="I121" s="174"/>
      <c r="J121" s="1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s="66" customFormat="1" ht="27" customHeight="1" thickTop="1" x14ac:dyDescent="0.25">
      <c r="A122" s="20"/>
      <c r="B122" s="160" t="s">
        <v>127</v>
      </c>
      <c r="C122" s="163" t="s">
        <v>126</v>
      </c>
      <c r="D122" s="24" t="s">
        <v>42</v>
      </c>
      <c r="E122" s="81">
        <f>(20.4+0.35+0.35)*2</f>
        <v>42.2</v>
      </c>
      <c r="F122" s="25"/>
      <c r="G122" s="166">
        <f>SUM(E122:E137)</f>
        <v>668.35</v>
      </c>
      <c r="H122" s="170">
        <f>G122</f>
        <v>668.35</v>
      </c>
      <c r="I122" s="173" t="s">
        <v>146</v>
      </c>
      <c r="J122" s="119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s="66" customFormat="1" x14ac:dyDescent="0.25">
      <c r="A123" s="20"/>
      <c r="B123" s="161"/>
      <c r="C123" s="164"/>
      <c r="D123" s="28" t="s">
        <v>43</v>
      </c>
      <c r="E123" s="90">
        <f>(11.81+0.35+0.35)*2+(7.75+0.35+0.35)*2</f>
        <v>41.92</v>
      </c>
      <c r="F123" s="29"/>
      <c r="G123" s="167"/>
      <c r="H123" s="171"/>
      <c r="I123" s="174"/>
      <c r="J123" s="1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s="66" customFormat="1" x14ac:dyDescent="0.25">
      <c r="A124" s="20"/>
      <c r="B124" s="161"/>
      <c r="C124" s="164"/>
      <c r="D124" s="28" t="s">
        <v>44</v>
      </c>
      <c r="E124" s="90">
        <f>(11.6+0.25+0.25)*2</f>
        <v>24.2</v>
      </c>
      <c r="F124" s="29"/>
      <c r="G124" s="167"/>
      <c r="H124" s="171"/>
      <c r="I124" s="174"/>
      <c r="J124" s="1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s="66" customFormat="1" x14ac:dyDescent="0.25">
      <c r="A125" s="20"/>
      <c r="B125" s="161"/>
      <c r="C125" s="164"/>
      <c r="D125" s="28" t="s">
        <v>45</v>
      </c>
      <c r="E125" s="90">
        <f>(27.8+0.25+0.25)*2</f>
        <v>56.6</v>
      </c>
      <c r="F125" s="29"/>
      <c r="G125" s="167"/>
      <c r="H125" s="171"/>
      <c r="I125" s="174"/>
      <c r="J125" s="1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s="66" customFormat="1" x14ac:dyDescent="0.25">
      <c r="A126" s="20"/>
      <c r="B126" s="161"/>
      <c r="C126" s="164"/>
      <c r="D126" s="28" t="s">
        <v>26</v>
      </c>
      <c r="E126" s="90">
        <f>15.8+15.8+0.35*6</f>
        <v>33.700000000000003</v>
      </c>
      <c r="F126" s="29"/>
      <c r="G126" s="167"/>
      <c r="H126" s="171"/>
      <c r="I126" s="174"/>
      <c r="J126" s="1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s="66" customFormat="1" x14ac:dyDescent="0.25">
      <c r="A127" s="20"/>
      <c r="B127" s="161"/>
      <c r="C127" s="164"/>
      <c r="D127" s="28" t="s">
        <v>46</v>
      </c>
      <c r="E127" s="90">
        <f>23.88*2+0.35*7</f>
        <v>50.21</v>
      </c>
      <c r="F127" s="29"/>
      <c r="G127" s="167"/>
      <c r="H127" s="171"/>
      <c r="I127" s="174"/>
      <c r="J127" s="1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s="66" customFormat="1" x14ac:dyDescent="0.25">
      <c r="A128" s="20"/>
      <c r="B128" s="161"/>
      <c r="C128" s="164"/>
      <c r="D128" s="28" t="s">
        <v>47</v>
      </c>
      <c r="E128" s="90">
        <f>31.9*2+0.2*8</f>
        <v>65.399999999999991</v>
      </c>
      <c r="F128" s="29"/>
      <c r="G128" s="167"/>
      <c r="H128" s="171"/>
      <c r="I128" s="174"/>
      <c r="J128" s="1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s="66" customFormat="1" x14ac:dyDescent="0.25">
      <c r="A129" s="20"/>
      <c r="B129" s="161"/>
      <c r="C129" s="164"/>
      <c r="D129" s="30" t="s">
        <v>27</v>
      </c>
      <c r="E129" s="90">
        <f>31.9*2+0.2*8</f>
        <v>65.399999999999991</v>
      </c>
      <c r="F129" s="29"/>
      <c r="G129" s="167"/>
      <c r="H129" s="171"/>
      <c r="I129" s="174"/>
      <c r="J129" s="1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s="72" customFormat="1" x14ac:dyDescent="0.25">
      <c r="A130" s="20"/>
      <c r="B130" s="161"/>
      <c r="C130" s="164"/>
      <c r="D130" s="30" t="s">
        <v>140</v>
      </c>
      <c r="E130" s="90">
        <f>16+0.2+0.2</f>
        <v>16.399999999999999</v>
      </c>
      <c r="F130" s="29"/>
      <c r="G130" s="167"/>
      <c r="H130" s="171"/>
      <c r="I130" s="174"/>
      <c r="J130" s="1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s="72" customFormat="1" x14ac:dyDescent="0.25">
      <c r="A131" s="20"/>
      <c r="B131" s="161"/>
      <c r="C131" s="164"/>
      <c r="D131" s="30" t="s">
        <v>139</v>
      </c>
      <c r="E131" s="90">
        <f>23.91+0.2+0.2</f>
        <v>24.31</v>
      </c>
      <c r="F131" s="29"/>
      <c r="G131" s="167"/>
      <c r="H131" s="171"/>
      <c r="I131" s="174"/>
      <c r="J131" s="1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s="72" customFormat="1" x14ac:dyDescent="0.25">
      <c r="A132" s="20"/>
      <c r="B132" s="161"/>
      <c r="C132" s="164"/>
      <c r="D132" s="30" t="s">
        <v>138</v>
      </c>
      <c r="E132" s="90">
        <f>32</f>
        <v>32</v>
      </c>
      <c r="F132" s="29"/>
      <c r="G132" s="167"/>
      <c r="H132" s="171"/>
      <c r="I132" s="174"/>
      <c r="J132" s="1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s="72" customFormat="1" x14ac:dyDescent="0.25">
      <c r="A133" s="20"/>
      <c r="B133" s="161"/>
      <c r="C133" s="164"/>
      <c r="D133" s="30" t="s">
        <v>137</v>
      </c>
      <c r="E133" s="90">
        <f>32</f>
        <v>32</v>
      </c>
      <c r="F133" s="29"/>
      <c r="G133" s="167"/>
      <c r="H133" s="171"/>
      <c r="I133" s="174"/>
      <c r="J133" s="1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s="72" customFormat="1" x14ac:dyDescent="0.25">
      <c r="A134" s="20"/>
      <c r="B134" s="161"/>
      <c r="C134" s="164"/>
      <c r="D134" s="30" t="s">
        <v>141</v>
      </c>
      <c r="E134" s="90">
        <f>11.84+0.2+0.2+6.52+0.2+0.2</f>
        <v>19.159999999999997</v>
      </c>
      <c r="F134" s="29"/>
      <c r="G134" s="167"/>
      <c r="H134" s="171"/>
      <c r="I134" s="174"/>
      <c r="J134" s="1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s="72" customFormat="1" x14ac:dyDescent="0.25">
      <c r="A135" s="20"/>
      <c r="B135" s="161"/>
      <c r="C135" s="164"/>
      <c r="D135" s="30" t="s">
        <v>144</v>
      </c>
      <c r="E135" s="86">
        <f>3.85</f>
        <v>3.85</v>
      </c>
      <c r="F135" s="27"/>
      <c r="G135" s="167"/>
      <c r="H135" s="171"/>
      <c r="I135" s="174"/>
      <c r="J135" s="1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s="72" customFormat="1" x14ac:dyDescent="0.25">
      <c r="A136" s="20"/>
      <c r="B136" s="161"/>
      <c r="C136" s="164"/>
      <c r="D136" s="30" t="s">
        <v>142</v>
      </c>
      <c r="E136" s="90">
        <f>33.83+0.2+0.2+13.65</f>
        <v>47.88</v>
      </c>
      <c r="F136" s="29"/>
      <c r="G136" s="167"/>
      <c r="H136" s="171"/>
      <c r="I136" s="174"/>
      <c r="J136" s="1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s="72" customFormat="1" ht="26.25" thickBot="1" x14ac:dyDescent="0.3">
      <c r="A137" s="20"/>
      <c r="B137" s="176"/>
      <c r="C137" s="194"/>
      <c r="D137" s="103" t="s">
        <v>145</v>
      </c>
      <c r="E137" s="112">
        <f>56.56*2</f>
        <v>113.12</v>
      </c>
      <c r="F137" s="105"/>
      <c r="G137" s="180"/>
      <c r="H137" s="181"/>
      <c r="I137" s="182"/>
      <c r="J137" s="1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s="66" customFormat="1" ht="27" customHeight="1" thickTop="1" x14ac:dyDescent="0.25">
      <c r="A138" s="20"/>
      <c r="B138" s="160" t="s">
        <v>128</v>
      </c>
      <c r="C138" s="163" t="s">
        <v>129</v>
      </c>
      <c r="D138" s="26" t="s">
        <v>42</v>
      </c>
      <c r="E138" s="86">
        <f>31.48+11+(10.39-15*0.06)</f>
        <v>51.970000000000006</v>
      </c>
      <c r="F138" s="27"/>
      <c r="G138" s="166">
        <f>SUM(E138:E154)</f>
        <v>493.18</v>
      </c>
      <c r="H138" s="170">
        <f>G138</f>
        <v>493.18</v>
      </c>
      <c r="I138" s="173" t="s">
        <v>146</v>
      </c>
      <c r="J138" s="119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s="66" customFormat="1" x14ac:dyDescent="0.25">
      <c r="A139" s="20"/>
      <c r="B139" s="161"/>
      <c r="C139" s="164"/>
      <c r="D139" s="28" t="s">
        <v>43</v>
      </c>
      <c r="E139" s="90">
        <f>9.01+9*2+9.4</f>
        <v>36.409999999999997</v>
      </c>
      <c r="F139" s="29"/>
      <c r="G139" s="167"/>
      <c r="H139" s="171"/>
      <c r="I139" s="174"/>
      <c r="J139" s="1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s="66" customFormat="1" x14ac:dyDescent="0.25">
      <c r="A140" s="20"/>
      <c r="B140" s="161"/>
      <c r="C140" s="164"/>
      <c r="D140" s="28" t="s">
        <v>44</v>
      </c>
      <c r="E140" s="90">
        <f>7.25*2</f>
        <v>14.5</v>
      </c>
      <c r="F140" s="29"/>
      <c r="G140" s="167"/>
      <c r="H140" s="171"/>
      <c r="I140" s="174"/>
      <c r="J140" s="1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s="66" customFormat="1" x14ac:dyDescent="0.25">
      <c r="A141" s="20"/>
      <c r="B141" s="161"/>
      <c r="C141" s="164"/>
      <c r="D141" s="28" t="s">
        <v>45</v>
      </c>
      <c r="E141" s="90">
        <f>7.75*2</f>
        <v>15.5</v>
      </c>
      <c r="F141" s="29"/>
      <c r="G141" s="167"/>
      <c r="H141" s="171"/>
      <c r="I141" s="174"/>
      <c r="J141" s="1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s="66" customFormat="1" x14ac:dyDescent="0.25">
      <c r="A142" s="20"/>
      <c r="B142" s="161"/>
      <c r="C142" s="164"/>
      <c r="D142" s="28" t="s">
        <v>26</v>
      </c>
      <c r="E142" s="90">
        <f>9.63*2+2.05*2</f>
        <v>23.36</v>
      </c>
      <c r="F142" s="29"/>
      <c r="G142" s="167"/>
      <c r="H142" s="171"/>
      <c r="I142" s="174"/>
      <c r="J142" s="1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s="66" customFormat="1" x14ac:dyDescent="0.25">
      <c r="A143" s="20"/>
      <c r="B143" s="161"/>
      <c r="C143" s="164"/>
      <c r="D143" s="28" t="s">
        <v>46</v>
      </c>
      <c r="E143" s="90">
        <f>7.6*2+2.05*3</f>
        <v>21.349999999999998</v>
      </c>
      <c r="F143" s="29"/>
      <c r="G143" s="167"/>
      <c r="H143" s="171"/>
      <c r="I143" s="174"/>
      <c r="J143" s="1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s="66" customFormat="1" x14ac:dyDescent="0.25">
      <c r="A144" s="20"/>
      <c r="B144" s="161"/>
      <c r="C144" s="164"/>
      <c r="D144" s="28" t="s">
        <v>47</v>
      </c>
      <c r="E144" s="90">
        <f>9.65*2+2*4</f>
        <v>27.3</v>
      </c>
      <c r="F144" s="29"/>
      <c r="G144" s="167"/>
      <c r="H144" s="171"/>
      <c r="I144" s="174"/>
      <c r="J144" s="1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s="66" customFormat="1" x14ac:dyDescent="0.25">
      <c r="A145" s="20"/>
      <c r="B145" s="161"/>
      <c r="C145" s="164"/>
      <c r="D145" s="30" t="s">
        <v>27</v>
      </c>
      <c r="E145" s="90">
        <f>9.65*2+2*4</f>
        <v>27.3</v>
      </c>
      <c r="F145" s="29"/>
      <c r="G145" s="167"/>
      <c r="H145" s="171"/>
      <c r="I145" s="174"/>
      <c r="J145" s="1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s="72" customFormat="1" x14ac:dyDescent="0.25">
      <c r="A146" s="20"/>
      <c r="B146" s="161"/>
      <c r="C146" s="164"/>
      <c r="D146" s="30" t="s">
        <v>140</v>
      </c>
      <c r="E146" s="90">
        <f>15.83+1.63+1.63</f>
        <v>19.09</v>
      </c>
      <c r="F146" s="29"/>
      <c r="G146" s="167"/>
      <c r="H146" s="171"/>
      <c r="I146" s="174"/>
      <c r="J146" s="1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s="72" customFormat="1" x14ac:dyDescent="0.25">
      <c r="A147" s="20"/>
      <c r="B147" s="161"/>
      <c r="C147" s="164"/>
      <c r="D147" s="30" t="s">
        <v>139</v>
      </c>
      <c r="E147" s="90">
        <f>24.13+1.63*2</f>
        <v>27.39</v>
      </c>
      <c r="F147" s="29"/>
      <c r="G147" s="167"/>
      <c r="H147" s="171"/>
      <c r="I147" s="174"/>
      <c r="J147" s="1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s="72" customFormat="1" x14ac:dyDescent="0.25">
      <c r="A148" s="20"/>
      <c r="B148" s="161"/>
      <c r="C148" s="164"/>
      <c r="D148" s="30" t="s">
        <v>138</v>
      </c>
      <c r="E148" s="90">
        <f>31.98+1.63*2</f>
        <v>35.24</v>
      </c>
      <c r="F148" s="29"/>
      <c r="G148" s="167"/>
      <c r="H148" s="171"/>
      <c r="I148" s="174"/>
      <c r="J148" s="1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s="72" customFormat="1" x14ac:dyDescent="0.25">
      <c r="A149" s="20"/>
      <c r="B149" s="161"/>
      <c r="C149" s="164"/>
      <c r="D149" s="30" t="s">
        <v>137</v>
      </c>
      <c r="E149" s="90">
        <f>31.98+1.63*2</f>
        <v>35.24</v>
      </c>
      <c r="F149" s="29"/>
      <c r="G149" s="167"/>
      <c r="H149" s="171"/>
      <c r="I149" s="174"/>
      <c r="J149" s="1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s="72" customFormat="1" x14ac:dyDescent="0.25">
      <c r="A150" s="20"/>
      <c r="B150" s="161"/>
      <c r="C150" s="164"/>
      <c r="D150" s="30" t="s">
        <v>141</v>
      </c>
      <c r="E150" s="90">
        <f>1.53*2+11.85+3.52*2</f>
        <v>21.95</v>
      </c>
      <c r="F150" s="29"/>
      <c r="G150" s="167"/>
      <c r="H150" s="171"/>
      <c r="I150" s="174"/>
      <c r="J150" s="1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s="72" customFormat="1" x14ac:dyDescent="0.25">
      <c r="A151" s="20"/>
      <c r="B151" s="161"/>
      <c r="C151" s="164"/>
      <c r="D151" s="30" t="s">
        <v>144</v>
      </c>
      <c r="E151" s="86">
        <f>30.38+23.85+8.1</f>
        <v>62.330000000000005</v>
      </c>
      <c r="F151" s="27"/>
      <c r="G151" s="167"/>
      <c r="H151" s="171"/>
      <c r="I151" s="174"/>
      <c r="J151" s="1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s="72" customFormat="1" x14ac:dyDescent="0.25">
      <c r="A152" s="20"/>
      <c r="B152" s="161"/>
      <c r="C152" s="164"/>
      <c r="D152" s="30" t="s">
        <v>143</v>
      </c>
      <c r="E152" s="90">
        <f>12.28+12.97</f>
        <v>25.25</v>
      </c>
      <c r="F152" s="29"/>
      <c r="G152" s="167"/>
      <c r="H152" s="171"/>
      <c r="I152" s="174"/>
      <c r="J152" s="1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s="72" customFormat="1" x14ac:dyDescent="0.25">
      <c r="A153" s="20"/>
      <c r="B153" s="161"/>
      <c r="C153" s="164"/>
      <c r="D153" s="30" t="s">
        <v>142</v>
      </c>
      <c r="E153" s="90">
        <f>3.5*2+20.2</f>
        <v>27.2</v>
      </c>
      <c r="F153" s="29"/>
      <c r="G153" s="167"/>
      <c r="H153" s="171"/>
      <c r="I153" s="174"/>
      <c r="J153" s="1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s="72" customFormat="1" ht="26.25" thickBot="1" x14ac:dyDescent="0.3">
      <c r="A154" s="20"/>
      <c r="B154" s="176"/>
      <c r="C154" s="165"/>
      <c r="D154" s="103" t="s">
        <v>145</v>
      </c>
      <c r="E154" s="112">
        <f>10.9*2</f>
        <v>21.8</v>
      </c>
      <c r="F154" s="105"/>
      <c r="G154" s="191"/>
      <c r="H154" s="172"/>
      <c r="I154" s="175"/>
      <c r="J154" s="1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s="118" customFormat="1" ht="27" customHeight="1" thickTop="1" x14ac:dyDescent="0.25">
      <c r="A155" s="20"/>
      <c r="B155" s="160"/>
      <c r="C155" s="163" t="s">
        <v>147</v>
      </c>
      <c r="D155" s="26" t="s">
        <v>42</v>
      </c>
      <c r="E155" s="86">
        <v>10.16</v>
      </c>
      <c r="F155" s="27"/>
      <c r="G155" s="166">
        <f>SUM(E155:E165)</f>
        <v>248.95000000000002</v>
      </c>
      <c r="H155" s="170">
        <f>G155</f>
        <v>248.95000000000002</v>
      </c>
      <c r="I155" s="173" t="s">
        <v>146</v>
      </c>
      <c r="J155" s="119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s="118" customFormat="1" x14ac:dyDescent="0.25">
      <c r="A156" s="20"/>
      <c r="B156" s="161"/>
      <c r="C156" s="164"/>
      <c r="D156" s="28" t="s">
        <v>43</v>
      </c>
      <c r="E156" s="90">
        <f>11.81+7.8</f>
        <v>19.61</v>
      </c>
      <c r="F156" s="29"/>
      <c r="G156" s="167"/>
      <c r="H156" s="171"/>
      <c r="I156" s="174"/>
      <c r="J156" s="1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s="118" customFormat="1" x14ac:dyDescent="0.25">
      <c r="A157" s="20"/>
      <c r="B157" s="161"/>
      <c r="C157" s="164"/>
      <c r="D157" s="28" t="s">
        <v>44</v>
      </c>
      <c r="E157" s="90">
        <v>11.8</v>
      </c>
      <c r="F157" s="29"/>
      <c r="G157" s="167"/>
      <c r="H157" s="171"/>
      <c r="I157" s="174"/>
      <c r="J157" s="1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s="118" customFormat="1" x14ac:dyDescent="0.25">
      <c r="A158" s="20"/>
      <c r="B158" s="161"/>
      <c r="C158" s="164"/>
      <c r="D158" s="28" t="s">
        <v>45</v>
      </c>
      <c r="E158" s="90">
        <v>27.8</v>
      </c>
      <c r="F158" s="29"/>
      <c r="G158" s="167"/>
      <c r="H158" s="171"/>
      <c r="I158" s="174"/>
      <c r="J158" s="1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s="118" customFormat="1" x14ac:dyDescent="0.25">
      <c r="A159" s="20"/>
      <c r="B159" s="161"/>
      <c r="C159" s="164"/>
      <c r="D159" s="28" t="s">
        <v>26</v>
      </c>
      <c r="E159" s="90">
        <v>15.81</v>
      </c>
      <c r="F159" s="29"/>
      <c r="G159" s="167"/>
      <c r="H159" s="171"/>
      <c r="I159" s="174"/>
      <c r="J159" s="1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s="118" customFormat="1" x14ac:dyDescent="0.25">
      <c r="A160" s="20"/>
      <c r="B160" s="161"/>
      <c r="C160" s="164"/>
      <c r="D160" s="28" t="s">
        <v>46</v>
      </c>
      <c r="E160" s="90">
        <v>23.88</v>
      </c>
      <c r="F160" s="29"/>
      <c r="G160" s="167"/>
      <c r="H160" s="171"/>
      <c r="I160" s="174"/>
      <c r="J160" s="1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s="118" customFormat="1" x14ac:dyDescent="0.25">
      <c r="A161" s="20"/>
      <c r="B161" s="161"/>
      <c r="C161" s="164"/>
      <c r="D161" s="28" t="s">
        <v>47</v>
      </c>
      <c r="E161" s="90">
        <v>31.9</v>
      </c>
      <c r="F161" s="29"/>
      <c r="G161" s="167"/>
      <c r="H161" s="171"/>
      <c r="I161" s="174"/>
      <c r="J161" s="1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s="118" customFormat="1" x14ac:dyDescent="0.25">
      <c r="A162" s="20"/>
      <c r="B162" s="161"/>
      <c r="C162" s="164"/>
      <c r="D162" s="30" t="s">
        <v>27</v>
      </c>
      <c r="E162" s="90">
        <v>31.9</v>
      </c>
      <c r="F162" s="29"/>
      <c r="G162" s="167"/>
      <c r="H162" s="171"/>
      <c r="I162" s="174"/>
      <c r="J162" s="1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s="118" customFormat="1" x14ac:dyDescent="0.25">
      <c r="A163" s="20"/>
      <c r="B163" s="161"/>
      <c r="C163" s="164"/>
      <c r="D163" s="30" t="s">
        <v>144</v>
      </c>
      <c r="E163" s="86">
        <v>5.73</v>
      </c>
      <c r="F163" s="27"/>
      <c r="G163" s="167"/>
      <c r="H163" s="171"/>
      <c r="I163" s="174"/>
      <c r="J163" s="1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s="118" customFormat="1" x14ac:dyDescent="0.25">
      <c r="A164" s="20"/>
      <c r="B164" s="161"/>
      <c r="C164" s="164"/>
      <c r="D164" s="30" t="s">
        <v>143</v>
      </c>
      <c r="E164" s="90">
        <v>13.8</v>
      </c>
      <c r="F164" s="29"/>
      <c r="G164" s="167"/>
      <c r="H164" s="171"/>
      <c r="I164" s="174"/>
      <c r="J164" s="1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s="118" customFormat="1" ht="26.25" thickBot="1" x14ac:dyDescent="0.3">
      <c r="A165" s="20"/>
      <c r="B165" s="176"/>
      <c r="C165" s="165"/>
      <c r="D165" s="103" t="s">
        <v>145</v>
      </c>
      <c r="E165" s="112">
        <v>56.56</v>
      </c>
      <c r="F165" s="105"/>
      <c r="G165" s="191"/>
      <c r="H165" s="172"/>
      <c r="I165" s="175"/>
      <c r="J165" s="1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s="118" customFormat="1" ht="39" customHeight="1" thickTop="1" thickBot="1" x14ac:dyDescent="0.3">
      <c r="A166" s="20"/>
      <c r="B166" s="97"/>
      <c r="C166" s="98" t="s">
        <v>148</v>
      </c>
      <c r="D166" s="26" t="s">
        <v>145</v>
      </c>
      <c r="E166" s="74">
        <f>(10.39-15*0.06)*1.5</f>
        <v>14.234999999999999</v>
      </c>
      <c r="F166" s="27"/>
      <c r="G166" s="115">
        <f>SUM(E166)</f>
        <v>14.234999999999999</v>
      </c>
      <c r="H166" s="116">
        <f>G166</f>
        <v>14.234999999999999</v>
      </c>
      <c r="I166" s="111" t="s">
        <v>146</v>
      </c>
      <c r="J166" s="117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s="62" customFormat="1" ht="12.6" customHeight="1" thickTop="1" thickBot="1" x14ac:dyDescent="0.3">
      <c r="A167" s="20"/>
      <c r="B167" s="22" t="s">
        <v>39</v>
      </c>
      <c r="C167" s="157" t="s">
        <v>40</v>
      </c>
      <c r="D167" s="158"/>
      <c r="E167" s="158"/>
      <c r="F167" s="158"/>
      <c r="G167" s="158"/>
      <c r="H167" s="158"/>
      <c r="I167" s="159"/>
      <c r="J167" s="23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s="62" customFormat="1" ht="15.75" thickTop="1" x14ac:dyDescent="0.25">
      <c r="A168" s="20"/>
      <c r="B168" s="160">
        <v>100719</v>
      </c>
      <c r="C168" s="163" t="s">
        <v>98</v>
      </c>
      <c r="D168" s="24" t="s">
        <v>63</v>
      </c>
      <c r="E168" s="73">
        <f>QUADRA!H16</f>
        <v>1989.3189788280761</v>
      </c>
      <c r="F168" s="25"/>
      <c r="G168" s="166">
        <f>SUM(E168:E177)</f>
        <v>6406.3575755026195</v>
      </c>
      <c r="H168" s="170">
        <f>G168</f>
        <v>6406.3575755026195</v>
      </c>
      <c r="I168" s="173" t="s">
        <v>100</v>
      </c>
      <c r="J168" s="119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s="62" customFormat="1" x14ac:dyDescent="0.25">
      <c r="A169" s="20"/>
      <c r="B169" s="161"/>
      <c r="C169" s="164"/>
      <c r="D169" s="26" t="s">
        <v>42</v>
      </c>
      <c r="E169" s="74">
        <f>'BLOCO B'!I55</f>
        <v>219.44064648908892</v>
      </c>
      <c r="F169" s="27"/>
      <c r="G169" s="167"/>
      <c r="H169" s="171"/>
      <c r="I169" s="174"/>
      <c r="J169" s="119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s="62" customFormat="1" x14ac:dyDescent="0.25">
      <c r="A170" s="20"/>
      <c r="B170" s="161"/>
      <c r="C170" s="164"/>
      <c r="D170" s="28" t="s">
        <v>43</v>
      </c>
      <c r="E170" s="75">
        <f>'BLOCO C'!I37</f>
        <v>242.26712675897468</v>
      </c>
      <c r="F170" s="29"/>
      <c r="G170" s="168"/>
      <c r="H170" s="171"/>
      <c r="I170" s="174"/>
      <c r="J170" s="1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s="62" customFormat="1" x14ac:dyDescent="0.25">
      <c r="A171" s="20"/>
      <c r="B171" s="161"/>
      <c r="C171" s="164"/>
      <c r="D171" s="28" t="s">
        <v>44</v>
      </c>
      <c r="E171" s="75">
        <f>'BLOCO E'!I29</f>
        <v>114.99949288379433</v>
      </c>
      <c r="F171" s="29"/>
      <c r="G171" s="168"/>
      <c r="H171" s="171"/>
      <c r="I171" s="174"/>
      <c r="J171" s="1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s="62" customFormat="1" x14ac:dyDescent="0.25">
      <c r="A172" s="20"/>
      <c r="B172" s="161"/>
      <c r="C172" s="164"/>
      <c r="D172" s="28" t="s">
        <v>45</v>
      </c>
      <c r="E172" s="75">
        <f>'BLOCO F'!I38</f>
        <v>230.95350754073812</v>
      </c>
      <c r="F172" s="29"/>
      <c r="G172" s="168"/>
      <c r="H172" s="171"/>
      <c r="I172" s="174"/>
      <c r="J172" s="1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s="62" customFormat="1" x14ac:dyDescent="0.25">
      <c r="A173" s="20"/>
      <c r="B173" s="161"/>
      <c r="C173" s="164"/>
      <c r="D173" s="28" t="s">
        <v>26</v>
      </c>
      <c r="E173" s="75">
        <f>'BLOCO G'!H66</f>
        <v>278.52890715140393</v>
      </c>
      <c r="F173" s="29"/>
      <c r="G173" s="168"/>
      <c r="H173" s="171"/>
      <c r="I173" s="174"/>
      <c r="J173" s="1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s="62" customFormat="1" x14ac:dyDescent="0.25">
      <c r="A174" s="20"/>
      <c r="B174" s="161"/>
      <c r="C174" s="164"/>
      <c r="D174" s="28" t="s">
        <v>46</v>
      </c>
      <c r="E174" s="75">
        <f>'BLOCO H'!I75</f>
        <v>397.74785687481005</v>
      </c>
      <c r="F174" s="29"/>
      <c r="G174" s="168"/>
      <c r="H174" s="171"/>
      <c r="I174" s="174"/>
      <c r="J174" s="1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s="62" customFormat="1" x14ac:dyDescent="0.25">
      <c r="A175" s="20"/>
      <c r="B175" s="161"/>
      <c r="C175" s="164"/>
      <c r="D175" s="28" t="s">
        <v>47</v>
      </c>
      <c r="E175" s="75">
        <f>'BLOCO I'!I75</f>
        <v>517.0289138550562</v>
      </c>
      <c r="F175" s="29"/>
      <c r="G175" s="168"/>
      <c r="H175" s="171"/>
      <c r="I175" s="174"/>
      <c r="J175" s="1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s="62" customFormat="1" x14ac:dyDescent="0.25">
      <c r="A176" s="20"/>
      <c r="B176" s="161"/>
      <c r="C176" s="164"/>
      <c r="D176" s="30" t="s">
        <v>27</v>
      </c>
      <c r="E176" s="76">
        <f>'BLOCO J'!I79</f>
        <v>518.25568343852683</v>
      </c>
      <c r="F176" s="29"/>
      <c r="G176" s="168"/>
      <c r="H176" s="171"/>
      <c r="I176" s="174"/>
      <c r="J176" s="1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s="62" customFormat="1" ht="15.75" thickBot="1" x14ac:dyDescent="0.3">
      <c r="A177" s="20"/>
      <c r="B177" s="162"/>
      <c r="C177" s="165"/>
      <c r="D177" s="31" t="s">
        <v>48</v>
      </c>
      <c r="E177" s="77">
        <f>PATIO!V216</f>
        <v>1897.81646168215</v>
      </c>
      <c r="F177" s="32"/>
      <c r="G177" s="169"/>
      <c r="H177" s="172"/>
      <c r="I177" s="175"/>
      <c r="J177" s="1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s="62" customFormat="1" ht="15.75" thickTop="1" x14ac:dyDescent="0.25">
      <c r="A178" s="20"/>
      <c r="B178" s="160">
        <v>100747</v>
      </c>
      <c r="C178" s="163" t="s">
        <v>99</v>
      </c>
      <c r="D178" s="24" t="s">
        <v>63</v>
      </c>
      <c r="E178" s="73">
        <f>E168</f>
        <v>1989.3189788280761</v>
      </c>
      <c r="F178" s="25"/>
      <c r="G178" s="166">
        <f>SUM(E178:E187)</f>
        <v>6406.3575755026195</v>
      </c>
      <c r="H178" s="170">
        <f>G178*2</f>
        <v>12812.715151005239</v>
      </c>
      <c r="I178" s="173" t="s">
        <v>100</v>
      </c>
      <c r="J178" s="119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s="62" customFormat="1" x14ac:dyDescent="0.25">
      <c r="A179" s="20"/>
      <c r="B179" s="161"/>
      <c r="C179" s="164"/>
      <c r="D179" s="26" t="s">
        <v>42</v>
      </c>
      <c r="E179" s="74">
        <f>E169</f>
        <v>219.44064648908892</v>
      </c>
      <c r="F179" s="27"/>
      <c r="G179" s="167"/>
      <c r="H179" s="171"/>
      <c r="I179" s="174"/>
      <c r="J179" s="119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s="62" customFormat="1" x14ac:dyDescent="0.25">
      <c r="A180" s="20"/>
      <c r="B180" s="161"/>
      <c r="C180" s="164"/>
      <c r="D180" s="28" t="s">
        <v>43</v>
      </c>
      <c r="E180" s="74">
        <f t="shared" ref="E180:E187" si="0">E170</f>
        <v>242.26712675897468</v>
      </c>
      <c r="F180" s="29"/>
      <c r="G180" s="168"/>
      <c r="H180" s="171"/>
      <c r="I180" s="174"/>
      <c r="J180" s="1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s="62" customFormat="1" x14ac:dyDescent="0.25">
      <c r="A181" s="20"/>
      <c r="B181" s="161"/>
      <c r="C181" s="164"/>
      <c r="D181" s="28" t="s">
        <v>44</v>
      </c>
      <c r="E181" s="74">
        <f t="shared" si="0"/>
        <v>114.99949288379433</v>
      </c>
      <c r="F181" s="29"/>
      <c r="G181" s="168"/>
      <c r="H181" s="171"/>
      <c r="I181" s="174"/>
      <c r="J181" s="1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s="62" customFormat="1" x14ac:dyDescent="0.25">
      <c r="A182" s="20"/>
      <c r="B182" s="161"/>
      <c r="C182" s="164"/>
      <c r="D182" s="28" t="s">
        <v>45</v>
      </c>
      <c r="E182" s="74">
        <f t="shared" si="0"/>
        <v>230.95350754073812</v>
      </c>
      <c r="F182" s="29"/>
      <c r="G182" s="168"/>
      <c r="H182" s="171"/>
      <c r="I182" s="174"/>
      <c r="J182" s="1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s="62" customFormat="1" x14ac:dyDescent="0.25">
      <c r="A183" s="20"/>
      <c r="B183" s="161"/>
      <c r="C183" s="164"/>
      <c r="D183" s="28" t="s">
        <v>26</v>
      </c>
      <c r="E183" s="74">
        <f t="shared" si="0"/>
        <v>278.52890715140393</v>
      </c>
      <c r="F183" s="29"/>
      <c r="G183" s="168"/>
      <c r="H183" s="171"/>
      <c r="I183" s="174"/>
      <c r="J183" s="1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s="62" customFormat="1" x14ac:dyDescent="0.25">
      <c r="A184" s="20"/>
      <c r="B184" s="161"/>
      <c r="C184" s="164"/>
      <c r="D184" s="28" t="s">
        <v>46</v>
      </c>
      <c r="E184" s="74">
        <f t="shared" si="0"/>
        <v>397.74785687481005</v>
      </c>
      <c r="F184" s="29"/>
      <c r="G184" s="168"/>
      <c r="H184" s="171"/>
      <c r="I184" s="174"/>
      <c r="J184" s="1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s="62" customFormat="1" x14ac:dyDescent="0.25">
      <c r="A185" s="20"/>
      <c r="B185" s="161"/>
      <c r="C185" s="164"/>
      <c r="D185" s="28" t="s">
        <v>47</v>
      </c>
      <c r="E185" s="74">
        <f t="shared" si="0"/>
        <v>517.0289138550562</v>
      </c>
      <c r="F185" s="29"/>
      <c r="G185" s="168"/>
      <c r="H185" s="171"/>
      <c r="I185" s="174"/>
      <c r="J185" s="1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s="62" customFormat="1" x14ac:dyDescent="0.25">
      <c r="A186" s="20"/>
      <c r="B186" s="161"/>
      <c r="C186" s="164"/>
      <c r="D186" s="30" t="s">
        <v>27</v>
      </c>
      <c r="E186" s="74">
        <f t="shared" si="0"/>
        <v>518.25568343852683</v>
      </c>
      <c r="F186" s="29"/>
      <c r="G186" s="168"/>
      <c r="H186" s="171"/>
      <c r="I186" s="174"/>
      <c r="J186" s="1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s="62" customFormat="1" ht="15.75" thickBot="1" x14ac:dyDescent="0.3">
      <c r="A187" s="20"/>
      <c r="B187" s="162"/>
      <c r="C187" s="165"/>
      <c r="D187" s="31" t="s">
        <v>48</v>
      </c>
      <c r="E187" s="77">
        <f t="shared" si="0"/>
        <v>1897.81646168215</v>
      </c>
      <c r="F187" s="32"/>
      <c r="G187" s="169"/>
      <c r="H187" s="172"/>
      <c r="I187" s="175"/>
      <c r="J187" s="1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 thickTop="1" x14ac:dyDescent="0.25">
      <c r="A188" s="20"/>
      <c r="B188" s="33"/>
      <c r="C188" s="34"/>
      <c r="D188" s="21"/>
      <c r="E188" s="35"/>
      <c r="F188" s="20"/>
      <c r="G188" s="36"/>
      <c r="H188" s="37"/>
      <c r="I188" s="38"/>
      <c r="J188" s="21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 x14ac:dyDescent="0.25">
      <c r="A189" s="20"/>
      <c r="B189" s="33"/>
      <c r="C189" s="34"/>
      <c r="D189" s="21"/>
      <c r="E189" s="35"/>
      <c r="F189" s="20"/>
      <c r="G189" s="36"/>
      <c r="H189" s="37"/>
      <c r="I189" s="38"/>
      <c r="J189" s="21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x14ac:dyDescent="0.25">
      <c r="A190" s="20"/>
      <c r="B190" s="33"/>
      <c r="C190" s="34"/>
      <c r="D190" s="21"/>
      <c r="E190" s="35"/>
      <c r="F190" s="20"/>
      <c r="G190" s="36"/>
      <c r="H190" s="37"/>
      <c r="I190" s="38"/>
      <c r="J190" s="21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 x14ac:dyDescent="0.25">
      <c r="A191" s="20"/>
      <c r="B191" s="33"/>
      <c r="C191" s="34"/>
      <c r="D191" s="21"/>
      <c r="E191" s="35"/>
      <c r="F191" s="20"/>
      <c r="G191" s="36"/>
      <c r="H191" s="37"/>
      <c r="I191" s="38"/>
      <c r="J191" s="21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 x14ac:dyDescent="0.25">
      <c r="A192" s="20"/>
      <c r="B192" s="33"/>
      <c r="C192" s="34"/>
      <c r="D192" s="21"/>
      <c r="E192" s="35"/>
      <c r="F192" s="20"/>
      <c r="G192" s="36"/>
      <c r="H192" s="37"/>
      <c r="I192" s="38"/>
      <c r="J192" s="21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 x14ac:dyDescent="0.25">
      <c r="A193" s="20"/>
      <c r="B193" s="33"/>
      <c r="C193" s="34"/>
      <c r="D193" s="21"/>
      <c r="E193" s="35"/>
      <c r="F193" s="20"/>
      <c r="G193" s="36"/>
      <c r="H193" s="37"/>
      <c r="I193" s="38"/>
      <c r="J193" s="21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 x14ac:dyDescent="0.25">
      <c r="A194" s="20"/>
      <c r="B194" s="33"/>
      <c r="C194" s="34"/>
      <c r="D194" s="21"/>
      <c r="E194" s="35"/>
      <c r="F194" s="20"/>
      <c r="G194" s="36"/>
      <c r="H194" s="37"/>
      <c r="I194" s="38"/>
      <c r="J194" s="21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 x14ac:dyDescent="0.25">
      <c r="A195" s="20"/>
      <c r="B195" s="33"/>
      <c r="C195" s="34"/>
      <c r="D195" s="21"/>
      <c r="E195" s="35"/>
      <c r="F195" s="20"/>
      <c r="G195" s="36"/>
      <c r="H195" s="37"/>
      <c r="I195" s="38"/>
      <c r="J195" s="21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 x14ac:dyDescent="0.25">
      <c r="A196" s="20"/>
      <c r="B196" s="33"/>
      <c r="C196" s="34"/>
      <c r="D196" s="21"/>
      <c r="E196" s="35"/>
      <c r="F196" s="20"/>
      <c r="G196" s="36"/>
      <c r="H196" s="37"/>
      <c r="I196" s="38"/>
      <c r="J196" s="21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 x14ac:dyDescent="0.25">
      <c r="A197" s="20"/>
      <c r="B197" s="33"/>
      <c r="C197" s="34"/>
      <c r="D197" s="21"/>
      <c r="E197" s="35"/>
      <c r="F197" s="20"/>
      <c r="G197" s="36"/>
      <c r="H197" s="37"/>
      <c r="I197" s="38"/>
      <c r="J197" s="21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 x14ac:dyDescent="0.25">
      <c r="A198" s="20"/>
      <c r="B198" s="33"/>
      <c r="C198" s="34"/>
      <c r="D198" s="21"/>
      <c r="E198" s="35"/>
      <c r="F198" s="20"/>
      <c r="G198" s="36"/>
      <c r="H198" s="37"/>
      <c r="I198" s="38"/>
      <c r="J198" s="21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 x14ac:dyDescent="0.25">
      <c r="A199" s="20"/>
      <c r="B199" s="33"/>
      <c r="C199" s="34"/>
      <c r="D199" s="21"/>
      <c r="E199" s="35"/>
      <c r="F199" s="20"/>
      <c r="G199" s="36"/>
      <c r="H199" s="37"/>
      <c r="I199" s="38"/>
      <c r="J199" s="21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x14ac:dyDescent="0.25">
      <c r="A200" s="20"/>
      <c r="B200" s="33"/>
      <c r="C200" s="34"/>
      <c r="D200" s="21"/>
      <c r="E200" s="35"/>
      <c r="F200" s="20"/>
      <c r="G200" s="36"/>
      <c r="H200" s="37"/>
      <c r="I200" s="38"/>
      <c r="J200" s="21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 x14ac:dyDescent="0.25">
      <c r="A201" s="20"/>
      <c r="B201" s="33"/>
      <c r="C201" s="34"/>
      <c r="D201" s="21"/>
      <c r="E201" s="35"/>
      <c r="F201" s="20"/>
      <c r="G201" s="36"/>
      <c r="H201" s="37"/>
      <c r="I201" s="38"/>
      <c r="J201" s="21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 x14ac:dyDescent="0.25">
      <c r="A202" s="20"/>
      <c r="B202" s="33"/>
      <c r="C202" s="34"/>
      <c r="D202" s="21"/>
      <c r="E202" s="35"/>
      <c r="F202" s="20"/>
      <c r="G202" s="36"/>
      <c r="H202" s="37"/>
      <c r="I202" s="38"/>
      <c r="J202" s="21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 x14ac:dyDescent="0.25">
      <c r="A203" s="20"/>
      <c r="B203" s="33"/>
      <c r="C203" s="34"/>
      <c r="D203" s="21"/>
      <c r="E203" s="35"/>
      <c r="F203" s="20"/>
      <c r="G203" s="36"/>
      <c r="H203" s="37"/>
      <c r="I203" s="38"/>
      <c r="J203" s="21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 x14ac:dyDescent="0.25">
      <c r="A204" s="20"/>
      <c r="B204" s="33"/>
      <c r="C204" s="34"/>
      <c r="D204" s="21"/>
      <c r="E204" s="35"/>
      <c r="F204" s="20"/>
      <c r="G204" s="36"/>
      <c r="H204" s="37"/>
      <c r="I204" s="38"/>
      <c r="J204" s="21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 x14ac:dyDescent="0.25">
      <c r="A205" s="20"/>
      <c r="B205" s="33"/>
      <c r="C205" s="34"/>
      <c r="D205" s="21"/>
      <c r="E205" s="35"/>
      <c r="F205" s="20"/>
      <c r="G205" s="36"/>
      <c r="H205" s="37"/>
      <c r="I205" s="38"/>
      <c r="J205" s="21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 x14ac:dyDescent="0.25">
      <c r="A206" s="20"/>
      <c r="B206" s="33"/>
      <c r="C206" s="34"/>
      <c r="D206" s="21"/>
      <c r="E206" s="35"/>
      <c r="F206" s="20"/>
      <c r="G206" s="36"/>
      <c r="H206" s="37"/>
      <c r="I206" s="38"/>
      <c r="J206" s="21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 x14ac:dyDescent="0.25">
      <c r="A207" s="20"/>
      <c r="B207" s="33"/>
      <c r="C207" s="34"/>
      <c r="D207" s="21"/>
      <c r="E207" s="35"/>
      <c r="F207" s="20"/>
      <c r="G207" s="36"/>
      <c r="H207" s="37"/>
      <c r="I207" s="38"/>
      <c r="J207" s="21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 x14ac:dyDescent="0.25">
      <c r="A208" s="20"/>
      <c r="B208" s="33"/>
      <c r="C208" s="34"/>
      <c r="D208" s="21"/>
      <c r="E208" s="35"/>
      <c r="F208" s="20"/>
      <c r="G208" s="36"/>
      <c r="H208" s="37"/>
      <c r="I208" s="38"/>
      <c r="J208" s="21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 x14ac:dyDescent="0.25">
      <c r="A209" s="20"/>
      <c r="B209" s="33"/>
      <c r="C209" s="34"/>
      <c r="D209" s="21"/>
      <c r="E209" s="35"/>
      <c r="F209" s="20"/>
      <c r="G209" s="36"/>
      <c r="H209" s="37"/>
      <c r="I209" s="38"/>
      <c r="J209" s="21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 x14ac:dyDescent="0.25">
      <c r="A210" s="20"/>
      <c r="B210" s="33"/>
      <c r="C210" s="34"/>
      <c r="D210" s="21"/>
      <c r="E210" s="35"/>
      <c r="F210" s="20"/>
      <c r="G210" s="36"/>
      <c r="H210" s="37"/>
      <c r="I210" s="38"/>
      <c r="J210" s="21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 x14ac:dyDescent="0.25">
      <c r="A211" s="20"/>
      <c r="B211" s="33"/>
      <c r="C211" s="34"/>
      <c r="D211" s="21"/>
      <c r="E211" s="35"/>
      <c r="F211" s="20"/>
      <c r="G211" s="36"/>
      <c r="H211" s="37"/>
      <c r="I211" s="38"/>
      <c r="J211" s="21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 x14ac:dyDescent="0.25">
      <c r="A212" s="20"/>
      <c r="B212" s="33"/>
      <c r="C212" s="34"/>
      <c r="D212" s="21"/>
      <c r="E212" s="35"/>
      <c r="F212" s="20"/>
      <c r="G212" s="36"/>
      <c r="H212" s="37"/>
      <c r="I212" s="38"/>
      <c r="J212" s="21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 x14ac:dyDescent="0.25">
      <c r="A213" s="20"/>
      <c r="B213" s="33"/>
      <c r="C213" s="34"/>
      <c r="D213" s="21"/>
      <c r="E213" s="35"/>
      <c r="F213" s="20"/>
      <c r="G213" s="36"/>
      <c r="H213" s="37"/>
      <c r="I213" s="38"/>
      <c r="J213" s="21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 x14ac:dyDescent="0.25">
      <c r="A214" s="20"/>
      <c r="B214" s="33"/>
      <c r="C214" s="34"/>
      <c r="D214" s="21"/>
      <c r="E214" s="35"/>
      <c r="F214" s="20"/>
      <c r="G214" s="36"/>
      <c r="H214" s="37"/>
      <c r="I214" s="38"/>
      <c r="J214" s="21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 x14ac:dyDescent="0.25">
      <c r="A215" s="20"/>
      <c r="B215" s="33"/>
      <c r="C215" s="34"/>
      <c r="D215" s="21"/>
      <c r="E215" s="35"/>
      <c r="F215" s="20"/>
      <c r="G215" s="36"/>
      <c r="H215" s="37"/>
      <c r="I215" s="38"/>
      <c r="J215" s="21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 x14ac:dyDescent="0.25">
      <c r="A216" s="20"/>
      <c r="B216" s="33"/>
      <c r="C216" s="34"/>
      <c r="D216" s="21"/>
      <c r="E216" s="35"/>
      <c r="F216" s="20"/>
      <c r="G216" s="36"/>
      <c r="H216" s="37"/>
      <c r="I216" s="38"/>
      <c r="J216" s="21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 x14ac:dyDescent="0.25">
      <c r="A217" s="20"/>
      <c r="B217" s="33"/>
      <c r="C217" s="34"/>
      <c r="D217" s="21"/>
      <c r="E217" s="35"/>
      <c r="F217" s="20"/>
      <c r="G217" s="36"/>
      <c r="H217" s="37"/>
      <c r="I217" s="38"/>
      <c r="J217" s="21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 x14ac:dyDescent="0.25">
      <c r="A218" s="20"/>
      <c r="B218" s="33"/>
      <c r="C218" s="34"/>
      <c r="D218" s="21"/>
      <c r="E218" s="35"/>
      <c r="F218" s="20"/>
      <c r="G218" s="36"/>
      <c r="H218" s="37"/>
      <c r="I218" s="38"/>
      <c r="J218" s="21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 x14ac:dyDescent="0.25">
      <c r="A219" s="20"/>
      <c r="B219" s="33"/>
      <c r="C219" s="34"/>
      <c r="D219" s="21"/>
      <c r="E219" s="35"/>
      <c r="F219" s="20"/>
      <c r="G219" s="36"/>
      <c r="H219" s="37"/>
      <c r="I219" s="38"/>
      <c r="J219" s="21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 x14ac:dyDescent="0.25">
      <c r="A220" s="20"/>
      <c r="B220" s="33"/>
      <c r="C220" s="34"/>
      <c r="D220" s="21"/>
      <c r="E220" s="35"/>
      <c r="F220" s="20"/>
      <c r="G220" s="36"/>
      <c r="H220" s="37"/>
      <c r="I220" s="38"/>
      <c r="J220" s="21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 x14ac:dyDescent="0.25">
      <c r="A221" s="20"/>
      <c r="B221" s="33"/>
      <c r="C221" s="34"/>
      <c r="D221" s="21"/>
      <c r="E221" s="35"/>
      <c r="F221" s="20"/>
      <c r="G221" s="36"/>
      <c r="H221" s="37"/>
      <c r="I221" s="38"/>
      <c r="J221" s="21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 x14ac:dyDescent="0.25">
      <c r="A222" s="20"/>
      <c r="B222" s="33"/>
      <c r="C222" s="34"/>
      <c r="D222" s="21"/>
      <c r="E222" s="35"/>
      <c r="F222" s="20"/>
      <c r="G222" s="36"/>
      <c r="H222" s="37"/>
      <c r="I222" s="38"/>
      <c r="J222" s="21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 x14ac:dyDescent="0.25">
      <c r="A223" s="20"/>
      <c r="B223" s="33"/>
      <c r="C223" s="34"/>
      <c r="D223" s="21"/>
      <c r="E223" s="35"/>
      <c r="F223" s="20"/>
      <c r="G223" s="36"/>
      <c r="H223" s="37"/>
      <c r="I223" s="38"/>
      <c r="J223" s="21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 x14ac:dyDescent="0.25">
      <c r="A224" s="20"/>
      <c r="B224" s="33"/>
      <c r="C224" s="34"/>
      <c r="D224" s="21"/>
      <c r="E224" s="35"/>
      <c r="F224" s="20"/>
      <c r="G224" s="36"/>
      <c r="H224" s="37"/>
      <c r="I224" s="38"/>
      <c r="J224" s="21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 x14ac:dyDescent="0.25">
      <c r="A225" s="20"/>
      <c r="B225" s="33"/>
      <c r="C225" s="34"/>
      <c r="D225" s="21"/>
      <c r="E225" s="35"/>
      <c r="F225" s="20"/>
      <c r="G225" s="36"/>
      <c r="H225" s="37"/>
      <c r="I225" s="38"/>
      <c r="J225" s="21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 x14ac:dyDescent="0.25">
      <c r="A226" s="20"/>
      <c r="B226" s="33"/>
      <c r="C226" s="34"/>
      <c r="D226" s="21"/>
      <c r="E226" s="35"/>
      <c r="F226" s="20"/>
      <c r="G226" s="36"/>
      <c r="H226" s="37"/>
      <c r="I226" s="38"/>
      <c r="J226" s="21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 x14ac:dyDescent="0.25">
      <c r="A227" s="20"/>
      <c r="B227" s="33"/>
      <c r="C227" s="34"/>
      <c r="D227" s="21"/>
      <c r="E227" s="35"/>
      <c r="F227" s="20"/>
      <c r="G227" s="36"/>
      <c r="H227" s="37"/>
      <c r="I227" s="38"/>
      <c r="J227" s="21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 x14ac:dyDescent="0.25">
      <c r="A228" s="20"/>
      <c r="B228" s="33"/>
      <c r="C228" s="34"/>
      <c r="D228" s="21"/>
      <c r="E228" s="35"/>
      <c r="F228" s="20"/>
      <c r="G228" s="36"/>
      <c r="H228" s="37"/>
      <c r="I228" s="38"/>
      <c r="J228" s="21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 x14ac:dyDescent="0.25">
      <c r="A229" s="20"/>
      <c r="B229" s="33"/>
      <c r="C229" s="34"/>
      <c r="D229" s="21"/>
      <c r="E229" s="35"/>
      <c r="F229" s="20"/>
      <c r="G229" s="36"/>
      <c r="H229" s="37"/>
      <c r="I229" s="38"/>
      <c r="J229" s="21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 x14ac:dyDescent="0.25">
      <c r="A230" s="20"/>
      <c r="B230" s="33"/>
      <c r="C230" s="34"/>
      <c r="D230" s="21"/>
      <c r="E230" s="35"/>
      <c r="F230" s="20"/>
      <c r="G230" s="36"/>
      <c r="H230" s="37"/>
      <c r="I230" s="38"/>
      <c r="J230" s="21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 x14ac:dyDescent="0.25">
      <c r="A231" s="20"/>
      <c r="B231" s="33"/>
      <c r="C231" s="34"/>
      <c r="D231" s="21"/>
      <c r="E231" s="35"/>
      <c r="F231" s="20"/>
      <c r="G231" s="36"/>
      <c r="H231" s="37"/>
      <c r="I231" s="38"/>
      <c r="J231" s="21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 x14ac:dyDescent="0.25">
      <c r="A232" s="20"/>
      <c r="B232" s="33"/>
      <c r="C232" s="34"/>
      <c r="D232" s="21"/>
      <c r="E232" s="35"/>
      <c r="F232" s="20"/>
      <c r="G232" s="36"/>
      <c r="H232" s="37"/>
      <c r="I232" s="38"/>
      <c r="J232" s="21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 x14ac:dyDescent="0.25">
      <c r="A233" s="20"/>
      <c r="B233" s="33"/>
      <c r="C233" s="34"/>
      <c r="D233" s="21"/>
      <c r="E233" s="35"/>
      <c r="F233" s="20"/>
      <c r="G233" s="36"/>
      <c r="H233" s="37"/>
      <c r="I233" s="38"/>
      <c r="J233" s="21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 x14ac:dyDescent="0.25">
      <c r="A234" s="20"/>
      <c r="B234" s="33"/>
      <c r="C234" s="34"/>
      <c r="D234" s="21"/>
      <c r="E234" s="35"/>
      <c r="F234" s="20"/>
      <c r="G234" s="36"/>
      <c r="H234" s="37"/>
      <c r="I234" s="38"/>
      <c r="J234" s="21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 x14ac:dyDescent="0.25">
      <c r="A235" s="20"/>
      <c r="B235" s="33"/>
      <c r="C235" s="34"/>
      <c r="D235" s="21"/>
      <c r="E235" s="35"/>
      <c r="F235" s="20"/>
      <c r="G235" s="36"/>
      <c r="H235" s="37"/>
      <c r="I235" s="38"/>
      <c r="J235" s="21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 x14ac:dyDescent="0.25">
      <c r="A236" s="20"/>
      <c r="B236" s="33"/>
      <c r="C236" s="34"/>
      <c r="D236" s="21"/>
      <c r="E236" s="35"/>
      <c r="F236" s="20"/>
      <c r="G236" s="36"/>
      <c r="H236" s="37"/>
      <c r="I236" s="38"/>
      <c r="J236" s="21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 x14ac:dyDescent="0.25">
      <c r="A237" s="20"/>
      <c r="B237" s="33"/>
      <c r="C237" s="34"/>
      <c r="D237" s="21"/>
      <c r="E237" s="35"/>
      <c r="F237" s="20"/>
      <c r="G237" s="36"/>
      <c r="H237" s="37"/>
      <c r="I237" s="38"/>
      <c r="J237" s="21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 x14ac:dyDescent="0.25">
      <c r="A238" s="20"/>
      <c r="B238" s="33"/>
      <c r="C238" s="34"/>
      <c r="D238" s="21"/>
      <c r="E238" s="35"/>
      <c r="F238" s="20"/>
      <c r="G238" s="36"/>
      <c r="H238" s="37"/>
      <c r="I238" s="38"/>
      <c r="J238" s="21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 x14ac:dyDescent="0.25">
      <c r="A239" s="20"/>
      <c r="B239" s="33"/>
      <c r="C239" s="34"/>
      <c r="D239" s="21"/>
      <c r="E239" s="35"/>
      <c r="F239" s="20"/>
      <c r="G239" s="36"/>
      <c r="H239" s="37"/>
      <c r="I239" s="38"/>
      <c r="J239" s="21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 x14ac:dyDescent="0.25">
      <c r="A240" s="20"/>
      <c r="B240" s="33"/>
      <c r="C240" s="34"/>
      <c r="D240" s="21"/>
      <c r="E240" s="35"/>
      <c r="F240" s="20"/>
      <c r="G240" s="36"/>
      <c r="H240" s="37"/>
      <c r="I240" s="38"/>
      <c r="J240" s="21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 x14ac:dyDescent="0.25">
      <c r="A241" s="20"/>
      <c r="B241" s="33"/>
      <c r="C241" s="34"/>
      <c r="D241" s="21"/>
      <c r="E241" s="35"/>
      <c r="F241" s="20"/>
      <c r="G241" s="36"/>
      <c r="H241" s="37"/>
      <c r="I241" s="38"/>
      <c r="J241" s="21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 x14ac:dyDescent="0.25">
      <c r="A242" s="20"/>
      <c r="B242" s="33"/>
      <c r="C242" s="34"/>
      <c r="D242" s="21"/>
      <c r="E242" s="35"/>
      <c r="F242" s="20"/>
      <c r="G242" s="36"/>
      <c r="H242" s="37"/>
      <c r="I242" s="38"/>
      <c r="J242" s="21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 x14ac:dyDescent="0.25">
      <c r="A243" s="20"/>
      <c r="B243" s="33"/>
      <c r="C243" s="34"/>
      <c r="D243" s="21"/>
      <c r="E243" s="35"/>
      <c r="F243" s="20"/>
      <c r="G243" s="36"/>
      <c r="H243" s="37"/>
      <c r="I243" s="38"/>
      <c r="J243" s="21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 x14ac:dyDescent="0.25">
      <c r="A244" s="20"/>
      <c r="B244" s="33"/>
      <c r="C244" s="34"/>
      <c r="D244" s="21"/>
      <c r="E244" s="35"/>
      <c r="F244" s="20"/>
      <c r="G244" s="36"/>
      <c r="H244" s="37"/>
      <c r="I244" s="38"/>
      <c r="J244" s="21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 x14ac:dyDescent="0.25">
      <c r="A245" s="20"/>
      <c r="B245" s="33"/>
      <c r="C245" s="34"/>
      <c r="D245" s="21"/>
      <c r="E245" s="35"/>
      <c r="F245" s="20"/>
      <c r="G245" s="36"/>
      <c r="H245" s="37"/>
      <c r="I245" s="38"/>
      <c r="J245" s="21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 x14ac:dyDescent="0.25">
      <c r="A246" s="20"/>
      <c r="B246" s="33"/>
      <c r="C246" s="34"/>
      <c r="D246" s="21"/>
      <c r="E246" s="35"/>
      <c r="F246" s="20"/>
      <c r="G246" s="36"/>
      <c r="H246" s="37"/>
      <c r="I246" s="38"/>
      <c r="J246" s="21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 x14ac:dyDescent="0.25">
      <c r="A247" s="20"/>
      <c r="B247" s="33"/>
      <c r="C247" s="34"/>
      <c r="D247" s="21"/>
      <c r="E247" s="35"/>
      <c r="F247" s="20"/>
      <c r="G247" s="36"/>
      <c r="H247" s="37"/>
      <c r="I247" s="38"/>
      <c r="J247" s="21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 x14ac:dyDescent="0.25">
      <c r="A248" s="20"/>
      <c r="B248" s="33"/>
      <c r="C248" s="34"/>
      <c r="D248" s="21"/>
      <c r="E248" s="35"/>
      <c r="F248" s="20"/>
      <c r="G248" s="36"/>
      <c r="H248" s="37"/>
      <c r="I248" s="38"/>
      <c r="J248" s="21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 x14ac:dyDescent="0.25">
      <c r="A249" s="20"/>
      <c r="B249" s="33"/>
      <c r="C249" s="34"/>
      <c r="D249" s="21"/>
      <c r="E249" s="35"/>
      <c r="F249" s="20"/>
      <c r="G249" s="36"/>
      <c r="H249" s="37"/>
      <c r="I249" s="38"/>
      <c r="J249" s="21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 x14ac:dyDescent="0.25">
      <c r="A250" s="20"/>
      <c r="B250" s="33"/>
      <c r="C250" s="34"/>
      <c r="D250" s="21"/>
      <c r="E250" s="35"/>
      <c r="F250" s="20"/>
      <c r="G250" s="36"/>
      <c r="H250" s="37"/>
      <c r="I250" s="38"/>
      <c r="J250" s="21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 x14ac:dyDescent="0.25">
      <c r="A251" s="20"/>
      <c r="B251" s="33"/>
      <c r="C251" s="34"/>
      <c r="D251" s="21"/>
      <c r="E251" s="35"/>
      <c r="F251" s="20"/>
      <c r="G251" s="36"/>
      <c r="H251" s="37"/>
      <c r="I251" s="38"/>
      <c r="J251" s="21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 x14ac:dyDescent="0.25">
      <c r="A252" s="20"/>
      <c r="B252" s="33"/>
      <c r="C252" s="34"/>
      <c r="D252" s="21"/>
      <c r="E252" s="35"/>
      <c r="F252" s="20"/>
      <c r="G252" s="36"/>
      <c r="H252" s="37"/>
      <c r="I252" s="38"/>
      <c r="J252" s="21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 x14ac:dyDescent="0.25">
      <c r="A253" s="20"/>
      <c r="B253" s="33"/>
      <c r="C253" s="34"/>
      <c r="D253" s="21"/>
      <c r="E253" s="35"/>
      <c r="F253" s="20"/>
      <c r="G253" s="36"/>
      <c r="H253" s="37"/>
      <c r="I253" s="38"/>
      <c r="J253" s="21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 x14ac:dyDescent="0.25">
      <c r="A254" s="20"/>
      <c r="B254" s="33"/>
      <c r="C254" s="34"/>
      <c r="D254" s="21"/>
      <c r="E254" s="35"/>
      <c r="F254" s="20"/>
      <c r="G254" s="36"/>
      <c r="H254" s="37"/>
      <c r="I254" s="38"/>
      <c r="J254" s="21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 x14ac:dyDescent="0.25">
      <c r="A255" s="20"/>
      <c r="B255" s="33"/>
      <c r="C255" s="34"/>
      <c r="D255" s="21"/>
      <c r="E255" s="35"/>
      <c r="F255" s="20"/>
      <c r="G255" s="36"/>
      <c r="H255" s="37"/>
      <c r="I255" s="38"/>
      <c r="J255" s="21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 x14ac:dyDescent="0.25">
      <c r="A256" s="20"/>
      <c r="B256" s="33"/>
      <c r="C256" s="34"/>
      <c r="D256" s="21"/>
      <c r="E256" s="35"/>
      <c r="F256" s="20"/>
      <c r="G256" s="36"/>
      <c r="H256" s="37"/>
      <c r="I256" s="38"/>
      <c r="J256" s="21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 x14ac:dyDescent="0.25">
      <c r="A257" s="20"/>
      <c r="B257" s="33"/>
      <c r="C257" s="34"/>
      <c r="D257" s="21"/>
      <c r="E257" s="35"/>
      <c r="F257" s="20"/>
      <c r="G257" s="36"/>
      <c r="H257" s="37"/>
      <c r="I257" s="38"/>
      <c r="J257" s="21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 x14ac:dyDescent="0.25">
      <c r="A258" s="20"/>
      <c r="B258" s="33"/>
      <c r="C258" s="34"/>
      <c r="D258" s="21"/>
      <c r="E258" s="35"/>
      <c r="F258" s="20"/>
      <c r="G258" s="36"/>
      <c r="H258" s="37"/>
      <c r="I258" s="38"/>
      <c r="J258" s="21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 x14ac:dyDescent="0.25">
      <c r="A259" s="20"/>
      <c r="B259" s="33"/>
      <c r="C259" s="34"/>
      <c r="D259" s="21"/>
      <c r="E259" s="35"/>
      <c r="F259" s="20"/>
      <c r="G259" s="36"/>
      <c r="H259" s="37"/>
      <c r="I259" s="38"/>
      <c r="J259" s="21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 x14ac:dyDescent="0.25">
      <c r="A260" s="20"/>
      <c r="B260" s="33"/>
      <c r="C260" s="34"/>
      <c r="D260" s="21"/>
      <c r="E260" s="35"/>
      <c r="F260" s="20"/>
      <c r="G260" s="36"/>
      <c r="H260" s="37"/>
      <c r="I260" s="38"/>
      <c r="J260" s="21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 x14ac:dyDescent="0.25">
      <c r="A261" s="20"/>
      <c r="B261" s="33"/>
      <c r="C261" s="34"/>
      <c r="D261" s="21"/>
      <c r="E261" s="35"/>
      <c r="F261" s="20"/>
      <c r="G261" s="36"/>
      <c r="H261" s="37"/>
      <c r="I261" s="38"/>
      <c r="J261" s="21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 x14ac:dyDescent="0.25">
      <c r="A262" s="20"/>
      <c r="B262" s="33"/>
      <c r="C262" s="34"/>
      <c r="D262" s="21"/>
      <c r="E262" s="35"/>
      <c r="F262" s="20"/>
      <c r="G262" s="36"/>
      <c r="H262" s="37"/>
      <c r="I262" s="38"/>
      <c r="J262" s="21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 x14ac:dyDescent="0.25">
      <c r="A263" s="20"/>
      <c r="B263" s="33"/>
      <c r="C263" s="34"/>
      <c r="D263" s="21"/>
      <c r="E263" s="35"/>
      <c r="F263" s="20"/>
      <c r="G263" s="36"/>
      <c r="H263" s="37"/>
      <c r="I263" s="38"/>
      <c r="J263" s="21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 x14ac:dyDescent="0.25">
      <c r="A264" s="20"/>
      <c r="B264" s="33"/>
      <c r="C264" s="34"/>
      <c r="D264" s="21"/>
      <c r="E264" s="35"/>
      <c r="F264" s="20"/>
      <c r="G264" s="36"/>
      <c r="H264" s="37"/>
      <c r="I264" s="38"/>
      <c r="J264" s="21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 x14ac:dyDescent="0.25">
      <c r="A265" s="20"/>
      <c r="B265" s="33"/>
      <c r="C265" s="34"/>
      <c r="D265" s="21"/>
      <c r="E265" s="35"/>
      <c r="F265" s="20"/>
      <c r="G265" s="36"/>
      <c r="H265" s="37"/>
      <c r="I265" s="38"/>
      <c r="J265" s="21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 x14ac:dyDescent="0.25">
      <c r="A266" s="20"/>
      <c r="B266" s="33"/>
      <c r="C266" s="34"/>
      <c r="D266" s="21"/>
      <c r="E266" s="35"/>
      <c r="F266" s="20"/>
      <c r="G266" s="36"/>
      <c r="H266" s="37"/>
      <c r="I266" s="38"/>
      <c r="J266" s="21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 x14ac:dyDescent="0.25">
      <c r="A267" s="20"/>
      <c r="B267" s="33"/>
      <c r="C267" s="34"/>
      <c r="D267" s="21"/>
      <c r="E267" s="35"/>
      <c r="F267" s="20"/>
      <c r="G267" s="36"/>
      <c r="H267" s="37"/>
      <c r="I267" s="38"/>
      <c r="J267" s="21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 x14ac:dyDescent="0.25">
      <c r="A268" s="20"/>
      <c r="B268" s="33"/>
      <c r="C268" s="34"/>
      <c r="D268" s="21"/>
      <c r="E268" s="35"/>
      <c r="F268" s="20"/>
      <c r="G268" s="36"/>
      <c r="H268" s="37"/>
      <c r="I268" s="38"/>
      <c r="J268" s="21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 x14ac:dyDescent="0.25">
      <c r="A269" s="20"/>
      <c r="B269" s="33"/>
      <c r="C269" s="34"/>
      <c r="D269" s="21"/>
      <c r="E269" s="35"/>
      <c r="F269" s="20"/>
      <c r="G269" s="36"/>
      <c r="H269" s="37"/>
      <c r="I269" s="38"/>
      <c r="J269" s="21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 x14ac:dyDescent="0.25">
      <c r="A270" s="20"/>
      <c r="B270" s="33"/>
      <c r="C270" s="34"/>
      <c r="D270" s="21"/>
      <c r="E270" s="35"/>
      <c r="F270" s="20"/>
      <c r="G270" s="36"/>
      <c r="H270" s="37"/>
      <c r="I270" s="38"/>
      <c r="J270" s="21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 x14ac:dyDescent="0.25">
      <c r="A271" s="20"/>
      <c r="B271" s="33"/>
      <c r="C271" s="34"/>
      <c r="D271" s="21"/>
      <c r="E271" s="35"/>
      <c r="F271" s="20"/>
      <c r="G271" s="36"/>
      <c r="H271" s="37"/>
      <c r="I271" s="38"/>
      <c r="J271" s="21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 x14ac:dyDescent="0.25">
      <c r="A272" s="20"/>
      <c r="B272" s="33"/>
      <c r="C272" s="34"/>
      <c r="D272" s="21"/>
      <c r="E272" s="35"/>
      <c r="F272" s="20"/>
      <c r="G272" s="36"/>
      <c r="H272" s="37"/>
      <c r="I272" s="38"/>
      <c r="J272" s="21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 x14ac:dyDescent="0.25">
      <c r="A273" s="20"/>
      <c r="B273" s="33"/>
      <c r="C273" s="34"/>
      <c r="D273" s="21"/>
      <c r="E273" s="35"/>
      <c r="F273" s="20"/>
      <c r="G273" s="36"/>
      <c r="H273" s="37"/>
      <c r="I273" s="38"/>
      <c r="J273" s="21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 x14ac:dyDescent="0.25">
      <c r="A274" s="20"/>
      <c r="B274" s="33"/>
      <c r="C274" s="34"/>
      <c r="D274" s="21"/>
      <c r="E274" s="35"/>
      <c r="F274" s="20"/>
      <c r="G274" s="36"/>
      <c r="H274" s="37"/>
      <c r="I274" s="38"/>
      <c r="J274" s="21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 x14ac:dyDescent="0.25">
      <c r="A275" s="20"/>
      <c r="B275" s="33"/>
      <c r="C275" s="34"/>
      <c r="D275" s="21"/>
      <c r="E275" s="35"/>
      <c r="F275" s="20"/>
      <c r="G275" s="36"/>
      <c r="H275" s="37"/>
      <c r="I275" s="38"/>
      <c r="J275" s="21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 x14ac:dyDescent="0.25">
      <c r="A276" s="20"/>
      <c r="B276" s="33"/>
      <c r="C276" s="34"/>
      <c r="D276" s="21"/>
      <c r="E276" s="35"/>
      <c r="F276" s="20"/>
      <c r="G276" s="36"/>
      <c r="H276" s="37"/>
      <c r="I276" s="38"/>
      <c r="J276" s="21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 x14ac:dyDescent="0.25">
      <c r="A277" s="20"/>
      <c r="B277" s="33"/>
      <c r="C277" s="34"/>
      <c r="D277" s="21"/>
      <c r="E277" s="35"/>
      <c r="F277" s="20"/>
      <c r="G277" s="36"/>
      <c r="H277" s="37"/>
      <c r="I277" s="38"/>
      <c r="J277" s="21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 x14ac:dyDescent="0.25">
      <c r="A278" s="20"/>
      <c r="B278" s="33"/>
      <c r="C278" s="34"/>
      <c r="D278" s="21"/>
      <c r="E278" s="35"/>
      <c r="F278" s="20"/>
      <c r="G278" s="36"/>
      <c r="H278" s="37"/>
      <c r="I278" s="38"/>
      <c r="J278" s="21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 x14ac:dyDescent="0.25">
      <c r="A279" s="20"/>
      <c r="B279" s="33"/>
      <c r="C279" s="34"/>
      <c r="D279" s="21"/>
      <c r="E279" s="35"/>
      <c r="F279" s="20"/>
      <c r="G279" s="36"/>
      <c r="H279" s="37"/>
      <c r="I279" s="38"/>
      <c r="J279" s="21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 x14ac:dyDescent="0.25">
      <c r="A280" s="20"/>
      <c r="B280" s="33"/>
      <c r="C280" s="34"/>
      <c r="D280" s="21"/>
      <c r="E280" s="35"/>
      <c r="F280" s="20"/>
      <c r="G280" s="36"/>
      <c r="H280" s="37"/>
      <c r="I280" s="38"/>
      <c r="J280" s="21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 x14ac:dyDescent="0.25">
      <c r="A281" s="20"/>
      <c r="B281" s="33"/>
      <c r="C281" s="34"/>
      <c r="D281" s="21"/>
      <c r="E281" s="35"/>
      <c r="F281" s="20"/>
      <c r="G281" s="36"/>
      <c r="H281" s="37"/>
      <c r="I281" s="38"/>
      <c r="J281" s="21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 x14ac:dyDescent="0.25">
      <c r="A282" s="20"/>
      <c r="B282" s="33"/>
      <c r="C282" s="34"/>
      <c r="D282" s="21"/>
      <c r="E282" s="35"/>
      <c r="F282" s="20"/>
      <c r="G282" s="36"/>
      <c r="H282" s="37"/>
      <c r="I282" s="38"/>
      <c r="J282" s="21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 x14ac:dyDescent="0.25">
      <c r="A283" s="20"/>
      <c r="B283" s="33"/>
      <c r="C283" s="34"/>
      <c r="D283" s="21"/>
      <c r="E283" s="35"/>
      <c r="F283" s="20"/>
      <c r="G283" s="36"/>
      <c r="H283" s="37"/>
      <c r="I283" s="38"/>
      <c r="J283" s="21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 x14ac:dyDescent="0.25">
      <c r="A284" s="20"/>
      <c r="B284" s="33"/>
      <c r="C284" s="34"/>
      <c r="D284" s="21"/>
      <c r="E284" s="35"/>
      <c r="F284" s="20"/>
      <c r="G284" s="36"/>
      <c r="H284" s="37"/>
      <c r="I284" s="38"/>
      <c r="J284" s="21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 x14ac:dyDescent="0.25">
      <c r="A285" s="20"/>
      <c r="B285" s="33"/>
      <c r="C285" s="34"/>
      <c r="D285" s="21"/>
      <c r="E285" s="35"/>
      <c r="F285" s="20"/>
      <c r="G285" s="36"/>
      <c r="H285" s="37"/>
      <c r="I285" s="38"/>
      <c r="J285" s="21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 x14ac:dyDescent="0.25">
      <c r="A286" s="20"/>
      <c r="B286" s="33"/>
      <c r="C286" s="34"/>
      <c r="D286" s="21"/>
      <c r="E286" s="35"/>
      <c r="F286" s="20"/>
      <c r="G286" s="36"/>
      <c r="H286" s="37"/>
      <c r="I286" s="38"/>
      <c r="J286" s="21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 x14ac:dyDescent="0.25">
      <c r="A287" s="20"/>
      <c r="B287" s="33"/>
      <c r="C287" s="34"/>
      <c r="D287" s="21"/>
      <c r="E287" s="35"/>
      <c r="F287" s="20"/>
      <c r="G287" s="36"/>
      <c r="H287" s="37"/>
      <c r="I287" s="38"/>
      <c r="J287" s="21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 x14ac:dyDescent="0.25">
      <c r="A288" s="20"/>
      <c r="B288" s="33"/>
      <c r="C288" s="34"/>
      <c r="D288" s="21"/>
      <c r="E288" s="35"/>
      <c r="F288" s="20"/>
      <c r="G288" s="36"/>
      <c r="H288" s="37"/>
      <c r="I288" s="38"/>
      <c r="J288" s="21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 x14ac:dyDescent="0.25">
      <c r="A289" s="20"/>
      <c r="B289" s="33"/>
      <c r="C289" s="34"/>
      <c r="D289" s="21"/>
      <c r="E289" s="35"/>
      <c r="F289" s="20"/>
      <c r="G289" s="36"/>
      <c r="H289" s="37"/>
      <c r="I289" s="38"/>
      <c r="J289" s="21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 x14ac:dyDescent="0.25">
      <c r="A290" s="20"/>
      <c r="B290" s="33"/>
      <c r="C290" s="34"/>
      <c r="D290" s="21"/>
      <c r="E290" s="35"/>
      <c r="F290" s="20"/>
      <c r="G290" s="36"/>
      <c r="H290" s="37"/>
      <c r="I290" s="38"/>
      <c r="J290" s="21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 x14ac:dyDescent="0.25">
      <c r="A291" s="20"/>
      <c r="B291" s="33"/>
      <c r="C291" s="34"/>
      <c r="D291" s="21"/>
      <c r="E291" s="35"/>
      <c r="F291" s="20"/>
      <c r="G291" s="36"/>
      <c r="H291" s="37"/>
      <c r="I291" s="38"/>
      <c r="J291" s="21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 x14ac:dyDescent="0.25">
      <c r="A292" s="20"/>
      <c r="B292" s="33"/>
      <c r="C292" s="34"/>
      <c r="D292" s="21"/>
      <c r="E292" s="35"/>
      <c r="F292" s="20"/>
      <c r="G292" s="36"/>
      <c r="H292" s="37"/>
      <c r="I292" s="38"/>
      <c r="J292" s="21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 x14ac:dyDescent="0.25">
      <c r="A293" s="20"/>
      <c r="B293" s="33"/>
      <c r="C293" s="34"/>
      <c r="D293" s="21"/>
      <c r="E293" s="35"/>
      <c r="F293" s="20"/>
      <c r="G293" s="36"/>
      <c r="H293" s="37"/>
      <c r="I293" s="38"/>
      <c r="J293" s="21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 x14ac:dyDescent="0.25">
      <c r="A294" s="20"/>
      <c r="B294" s="33"/>
      <c r="C294" s="34"/>
      <c r="D294" s="21"/>
      <c r="E294" s="35"/>
      <c r="F294" s="20"/>
      <c r="G294" s="36"/>
      <c r="H294" s="37"/>
      <c r="I294" s="38"/>
      <c r="J294" s="21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 x14ac:dyDescent="0.25">
      <c r="A295" s="20"/>
      <c r="B295" s="33"/>
      <c r="C295" s="34"/>
      <c r="D295" s="21"/>
      <c r="E295" s="35"/>
      <c r="F295" s="20"/>
      <c r="G295" s="36"/>
      <c r="H295" s="37"/>
      <c r="I295" s="38"/>
      <c r="J295" s="21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 x14ac:dyDescent="0.25">
      <c r="A296" s="20"/>
      <c r="B296" s="33"/>
      <c r="C296" s="34"/>
      <c r="D296" s="21"/>
      <c r="E296" s="35"/>
      <c r="F296" s="20"/>
      <c r="G296" s="36"/>
      <c r="H296" s="37"/>
      <c r="I296" s="38"/>
      <c r="J296" s="21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 x14ac:dyDescent="0.25">
      <c r="A297" s="20"/>
      <c r="B297" s="33"/>
      <c r="C297" s="34"/>
      <c r="D297" s="21"/>
      <c r="E297" s="35"/>
      <c r="F297" s="20"/>
      <c r="G297" s="36"/>
      <c r="H297" s="37"/>
      <c r="I297" s="38"/>
      <c r="J297" s="21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 x14ac:dyDescent="0.25">
      <c r="A298" s="20"/>
      <c r="B298" s="33"/>
      <c r="C298" s="34"/>
      <c r="D298" s="21"/>
      <c r="E298" s="35"/>
      <c r="F298" s="20"/>
      <c r="G298" s="36"/>
      <c r="H298" s="37"/>
      <c r="I298" s="38"/>
      <c r="J298" s="21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 x14ac:dyDescent="0.25">
      <c r="A299" s="20"/>
      <c r="B299" s="33"/>
      <c r="C299" s="34"/>
      <c r="D299" s="21"/>
      <c r="E299" s="35"/>
      <c r="F299" s="20"/>
      <c r="G299" s="36"/>
      <c r="H299" s="37"/>
      <c r="I299" s="38"/>
      <c r="J299" s="21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 x14ac:dyDescent="0.25">
      <c r="A300" s="20"/>
      <c r="B300" s="33"/>
      <c r="C300" s="34"/>
      <c r="D300" s="21"/>
      <c r="E300" s="35"/>
      <c r="F300" s="20"/>
      <c r="G300" s="36"/>
      <c r="H300" s="37"/>
      <c r="I300" s="38"/>
      <c r="J300" s="21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 x14ac:dyDescent="0.25">
      <c r="A301" s="20"/>
      <c r="B301" s="33"/>
      <c r="C301" s="34"/>
      <c r="D301" s="21"/>
      <c r="E301" s="35"/>
      <c r="F301" s="20"/>
      <c r="G301" s="36"/>
      <c r="H301" s="37"/>
      <c r="I301" s="38"/>
      <c r="J301" s="21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 x14ac:dyDescent="0.25">
      <c r="A302" s="20"/>
      <c r="B302" s="33"/>
      <c r="C302" s="34"/>
      <c r="D302" s="21"/>
      <c r="E302" s="35"/>
      <c r="F302" s="20"/>
      <c r="G302" s="36"/>
      <c r="H302" s="37"/>
      <c r="I302" s="38"/>
      <c r="J302" s="21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 x14ac:dyDescent="0.25">
      <c r="A303" s="20"/>
      <c r="B303" s="33"/>
      <c r="C303" s="34"/>
      <c r="D303" s="21"/>
      <c r="E303" s="35"/>
      <c r="F303" s="20"/>
      <c r="G303" s="36"/>
      <c r="H303" s="37"/>
      <c r="I303" s="38"/>
      <c r="J303" s="21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 x14ac:dyDescent="0.25">
      <c r="A304" s="20"/>
      <c r="B304" s="33"/>
      <c r="C304" s="34"/>
      <c r="D304" s="21"/>
      <c r="E304" s="35"/>
      <c r="F304" s="20"/>
      <c r="G304" s="36"/>
      <c r="H304" s="37"/>
      <c r="I304" s="38"/>
      <c r="J304" s="21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 x14ac:dyDescent="0.25">
      <c r="A305" s="20"/>
      <c r="B305" s="33"/>
      <c r="C305" s="34"/>
      <c r="D305" s="21"/>
      <c r="E305" s="35"/>
      <c r="F305" s="20"/>
      <c r="G305" s="36"/>
      <c r="H305" s="37"/>
      <c r="I305" s="38"/>
      <c r="J305" s="21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 x14ac:dyDescent="0.25">
      <c r="A306" s="20"/>
      <c r="B306" s="33"/>
      <c r="C306" s="34"/>
      <c r="D306" s="21"/>
      <c r="E306" s="35"/>
      <c r="F306" s="20"/>
      <c r="G306" s="36"/>
      <c r="H306" s="37"/>
      <c r="I306" s="38"/>
      <c r="J306" s="21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 x14ac:dyDescent="0.25">
      <c r="A307" s="20"/>
      <c r="B307" s="33"/>
      <c r="C307" s="34"/>
      <c r="D307" s="21"/>
      <c r="E307" s="35"/>
      <c r="F307" s="20"/>
      <c r="G307" s="36"/>
      <c r="H307" s="37"/>
      <c r="I307" s="38"/>
      <c r="J307" s="21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 x14ac:dyDescent="0.25">
      <c r="A308" s="20"/>
      <c r="B308" s="33"/>
      <c r="C308" s="34"/>
      <c r="D308" s="21"/>
      <c r="E308" s="35"/>
      <c r="F308" s="20"/>
      <c r="G308" s="36"/>
      <c r="H308" s="37"/>
      <c r="I308" s="38"/>
      <c r="J308" s="21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 x14ac:dyDescent="0.25">
      <c r="A309" s="20"/>
      <c r="B309" s="33"/>
      <c r="C309" s="34"/>
      <c r="D309" s="21"/>
      <c r="E309" s="35"/>
      <c r="F309" s="20"/>
      <c r="G309" s="36"/>
      <c r="H309" s="37"/>
      <c r="I309" s="38"/>
      <c r="J309" s="21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 x14ac:dyDescent="0.25">
      <c r="A310" s="20"/>
      <c r="B310" s="33"/>
      <c r="C310" s="34"/>
      <c r="D310" s="21"/>
      <c r="E310" s="35"/>
      <c r="F310" s="20"/>
      <c r="G310" s="36"/>
      <c r="H310" s="37"/>
      <c r="I310" s="38"/>
      <c r="J310" s="21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 x14ac:dyDescent="0.25">
      <c r="A311" s="20"/>
      <c r="B311" s="33"/>
      <c r="C311" s="34"/>
      <c r="D311" s="21"/>
      <c r="E311" s="35"/>
      <c r="F311" s="20"/>
      <c r="G311" s="36"/>
      <c r="H311" s="37"/>
      <c r="I311" s="38"/>
      <c r="J311" s="21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 x14ac:dyDescent="0.25">
      <c r="A312" s="20"/>
      <c r="B312" s="33"/>
      <c r="C312" s="34"/>
      <c r="D312" s="21"/>
      <c r="E312" s="35"/>
      <c r="F312" s="20"/>
      <c r="G312" s="36"/>
      <c r="H312" s="37"/>
      <c r="I312" s="38"/>
      <c r="J312" s="21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 x14ac:dyDescent="0.25">
      <c r="A313" s="20"/>
      <c r="B313" s="33"/>
      <c r="C313" s="34"/>
      <c r="D313" s="21"/>
      <c r="E313" s="35"/>
      <c r="F313" s="20"/>
      <c r="G313" s="36"/>
      <c r="H313" s="37"/>
      <c r="I313" s="38"/>
      <c r="J313" s="21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 x14ac:dyDescent="0.25">
      <c r="A314" s="20"/>
      <c r="B314" s="33"/>
      <c r="C314" s="34"/>
      <c r="D314" s="21"/>
      <c r="E314" s="35"/>
      <c r="F314" s="20"/>
      <c r="G314" s="36"/>
      <c r="H314" s="37"/>
      <c r="I314" s="38"/>
      <c r="J314" s="21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 x14ac:dyDescent="0.25">
      <c r="A315" s="20"/>
      <c r="B315" s="33"/>
      <c r="C315" s="34"/>
      <c r="D315" s="21"/>
      <c r="E315" s="35"/>
      <c r="F315" s="20"/>
      <c r="G315" s="36"/>
      <c r="H315" s="37"/>
      <c r="I315" s="38"/>
      <c r="J315" s="21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 x14ac:dyDescent="0.25">
      <c r="A316" s="20"/>
      <c r="B316" s="33"/>
      <c r="C316" s="34"/>
      <c r="D316" s="21"/>
      <c r="E316" s="35"/>
      <c r="F316" s="20"/>
      <c r="G316" s="36"/>
      <c r="H316" s="37"/>
      <c r="I316" s="38"/>
      <c r="J316" s="21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 x14ac:dyDescent="0.25">
      <c r="A317" s="20"/>
      <c r="B317" s="33"/>
      <c r="C317" s="34"/>
      <c r="D317" s="21"/>
      <c r="E317" s="35"/>
      <c r="F317" s="20"/>
      <c r="G317" s="36"/>
      <c r="H317" s="37"/>
      <c r="I317" s="38"/>
      <c r="J317" s="21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 x14ac:dyDescent="0.25">
      <c r="A318" s="20"/>
      <c r="B318" s="33"/>
      <c r="C318" s="34"/>
      <c r="D318" s="21"/>
      <c r="E318" s="35"/>
      <c r="F318" s="20"/>
      <c r="G318" s="36"/>
      <c r="H318" s="37"/>
      <c r="I318" s="38"/>
      <c r="J318" s="21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 x14ac:dyDescent="0.25">
      <c r="A319" s="20"/>
      <c r="B319" s="33"/>
      <c r="C319" s="34"/>
      <c r="D319" s="21"/>
      <c r="E319" s="35"/>
      <c r="F319" s="20"/>
      <c r="G319" s="36"/>
      <c r="H319" s="37"/>
      <c r="I319" s="38"/>
      <c r="J319" s="21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 x14ac:dyDescent="0.25">
      <c r="A320" s="20"/>
      <c r="B320" s="33"/>
      <c r="C320" s="34"/>
      <c r="D320" s="21"/>
      <c r="E320" s="35"/>
      <c r="F320" s="20"/>
      <c r="G320" s="36"/>
      <c r="H320" s="37"/>
      <c r="I320" s="38"/>
      <c r="J320" s="21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 x14ac:dyDescent="0.25">
      <c r="A321" s="20"/>
      <c r="B321" s="33"/>
      <c r="C321" s="34"/>
      <c r="D321" s="21"/>
      <c r="E321" s="35"/>
      <c r="F321" s="20"/>
      <c r="G321" s="36"/>
      <c r="H321" s="37"/>
      <c r="I321" s="38"/>
      <c r="J321" s="21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 x14ac:dyDescent="0.25">
      <c r="A322" s="20"/>
      <c r="B322" s="33"/>
      <c r="C322" s="34"/>
      <c r="D322" s="21"/>
      <c r="E322" s="35"/>
      <c r="F322" s="20"/>
      <c r="G322" s="36"/>
      <c r="H322" s="37"/>
      <c r="I322" s="38"/>
      <c r="J322" s="21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 x14ac:dyDescent="0.25">
      <c r="A323" s="20"/>
      <c r="B323" s="33"/>
      <c r="C323" s="34"/>
      <c r="D323" s="21"/>
      <c r="E323" s="35"/>
      <c r="F323" s="20"/>
      <c r="G323" s="36"/>
      <c r="H323" s="37"/>
      <c r="I323" s="38"/>
      <c r="J323" s="21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 x14ac:dyDescent="0.25">
      <c r="A324" s="20"/>
      <c r="B324" s="33"/>
      <c r="C324" s="34"/>
      <c r="D324" s="21"/>
      <c r="E324" s="35"/>
      <c r="F324" s="20"/>
      <c r="G324" s="36"/>
      <c r="H324" s="37"/>
      <c r="I324" s="38"/>
      <c r="J324" s="21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 x14ac:dyDescent="0.25">
      <c r="A325" s="20"/>
      <c r="B325" s="33"/>
      <c r="C325" s="34"/>
      <c r="D325" s="21"/>
      <c r="E325" s="35"/>
      <c r="F325" s="20"/>
      <c r="G325" s="36"/>
      <c r="H325" s="37"/>
      <c r="I325" s="38"/>
      <c r="J325" s="21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 x14ac:dyDescent="0.25">
      <c r="A326" s="20"/>
      <c r="B326" s="33"/>
      <c r="C326" s="34"/>
      <c r="D326" s="21"/>
      <c r="E326" s="35"/>
      <c r="F326" s="20"/>
      <c r="G326" s="36"/>
      <c r="H326" s="37"/>
      <c r="I326" s="38"/>
      <c r="J326" s="21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 x14ac:dyDescent="0.25">
      <c r="A327" s="20"/>
      <c r="B327" s="33"/>
      <c r="C327" s="34"/>
      <c r="D327" s="21"/>
      <c r="E327" s="35"/>
      <c r="F327" s="20"/>
      <c r="G327" s="36"/>
      <c r="H327" s="37"/>
      <c r="I327" s="38"/>
      <c r="J327" s="21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 x14ac:dyDescent="0.25">
      <c r="A328" s="20"/>
      <c r="B328" s="33"/>
      <c r="C328" s="34"/>
      <c r="D328" s="21"/>
      <c r="E328" s="35"/>
      <c r="F328" s="20"/>
      <c r="G328" s="36"/>
      <c r="H328" s="37"/>
      <c r="I328" s="38"/>
      <c r="J328" s="21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 x14ac:dyDescent="0.25">
      <c r="A329" s="20"/>
      <c r="B329" s="33"/>
      <c r="C329" s="34"/>
      <c r="D329" s="21"/>
      <c r="E329" s="35"/>
      <c r="F329" s="20"/>
      <c r="G329" s="36"/>
      <c r="H329" s="37"/>
      <c r="I329" s="38"/>
      <c r="J329" s="21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 x14ac:dyDescent="0.25">
      <c r="A330" s="20"/>
      <c r="B330" s="33"/>
      <c r="C330" s="34"/>
      <c r="D330" s="21"/>
      <c r="E330" s="35"/>
      <c r="F330" s="20"/>
      <c r="G330" s="36"/>
      <c r="H330" s="37"/>
      <c r="I330" s="38"/>
      <c r="J330" s="21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 x14ac:dyDescent="0.25">
      <c r="A331" s="20"/>
      <c r="B331" s="33"/>
      <c r="C331" s="34"/>
      <c r="D331" s="21"/>
      <c r="E331" s="35"/>
      <c r="F331" s="20"/>
      <c r="G331" s="36"/>
      <c r="H331" s="37"/>
      <c r="I331" s="38"/>
      <c r="J331" s="21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 x14ac:dyDescent="0.25">
      <c r="A332" s="20"/>
      <c r="B332" s="33"/>
      <c r="C332" s="34"/>
      <c r="D332" s="21"/>
      <c r="E332" s="35"/>
      <c r="F332" s="20"/>
      <c r="G332" s="36"/>
      <c r="H332" s="37"/>
      <c r="I332" s="38"/>
      <c r="J332" s="21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 x14ac:dyDescent="0.25">
      <c r="A333" s="20"/>
      <c r="B333" s="33"/>
      <c r="C333" s="34"/>
      <c r="D333" s="21"/>
      <c r="E333" s="35"/>
      <c r="F333" s="20"/>
      <c r="G333" s="36"/>
      <c r="H333" s="37"/>
      <c r="I333" s="38"/>
      <c r="J333" s="21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 x14ac:dyDescent="0.25">
      <c r="A334" s="20"/>
      <c r="B334" s="33"/>
      <c r="C334" s="34"/>
      <c r="D334" s="21"/>
      <c r="E334" s="35"/>
      <c r="F334" s="20"/>
      <c r="G334" s="36"/>
      <c r="H334" s="37"/>
      <c r="I334" s="38"/>
      <c r="J334" s="21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 x14ac:dyDescent="0.25">
      <c r="A335" s="20"/>
      <c r="B335" s="33"/>
      <c r="C335" s="34"/>
      <c r="D335" s="21"/>
      <c r="E335" s="35"/>
      <c r="F335" s="20"/>
      <c r="G335" s="36"/>
      <c r="H335" s="37"/>
      <c r="I335" s="38"/>
      <c r="J335" s="21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 x14ac:dyDescent="0.25">
      <c r="A336" s="20"/>
      <c r="B336" s="33"/>
      <c r="C336" s="34"/>
      <c r="D336" s="21"/>
      <c r="E336" s="35"/>
      <c r="F336" s="20"/>
      <c r="G336" s="36"/>
      <c r="H336" s="37"/>
      <c r="I336" s="38"/>
      <c r="J336" s="21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 x14ac:dyDescent="0.25">
      <c r="A337" s="20"/>
      <c r="B337" s="33"/>
      <c r="C337" s="34"/>
      <c r="D337" s="21"/>
      <c r="E337" s="35"/>
      <c r="F337" s="20"/>
      <c r="G337" s="36"/>
      <c r="H337" s="37"/>
      <c r="I337" s="38"/>
      <c r="J337" s="21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 x14ac:dyDescent="0.25">
      <c r="A338" s="20"/>
      <c r="B338" s="33"/>
      <c r="C338" s="34"/>
      <c r="D338" s="21"/>
      <c r="E338" s="35"/>
      <c r="F338" s="20"/>
      <c r="G338" s="36"/>
      <c r="H338" s="37"/>
      <c r="I338" s="38"/>
      <c r="J338" s="21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 x14ac:dyDescent="0.25">
      <c r="A339" s="20"/>
      <c r="B339" s="33"/>
      <c r="C339" s="34"/>
      <c r="D339" s="21"/>
      <c r="E339" s="35"/>
      <c r="F339" s="20"/>
      <c r="G339" s="36"/>
      <c r="H339" s="37"/>
      <c r="I339" s="38"/>
      <c r="J339" s="21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 x14ac:dyDescent="0.25">
      <c r="A340" s="20"/>
      <c r="B340" s="33"/>
      <c r="C340" s="34"/>
      <c r="D340" s="21"/>
      <c r="E340" s="35"/>
      <c r="F340" s="20"/>
      <c r="G340" s="36"/>
      <c r="H340" s="37"/>
      <c r="I340" s="38"/>
      <c r="J340" s="21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 x14ac:dyDescent="0.25">
      <c r="A341" s="20"/>
      <c r="B341" s="33"/>
      <c r="C341" s="34"/>
      <c r="D341" s="21"/>
      <c r="E341" s="35"/>
      <c r="F341" s="20"/>
      <c r="G341" s="36"/>
      <c r="H341" s="37"/>
      <c r="I341" s="38"/>
      <c r="J341" s="21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 x14ac:dyDescent="0.25">
      <c r="A342" s="20"/>
      <c r="B342" s="33"/>
      <c r="C342" s="34"/>
      <c r="D342" s="21"/>
      <c r="E342" s="35"/>
      <c r="F342" s="20"/>
      <c r="G342" s="36"/>
      <c r="H342" s="37"/>
      <c r="I342" s="38"/>
      <c r="J342" s="21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 x14ac:dyDescent="0.25">
      <c r="A343" s="20"/>
      <c r="B343" s="33"/>
      <c r="C343" s="34"/>
      <c r="D343" s="21"/>
      <c r="E343" s="35"/>
      <c r="F343" s="20"/>
      <c r="G343" s="36"/>
      <c r="H343" s="37"/>
      <c r="I343" s="38"/>
      <c r="J343" s="21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 x14ac:dyDescent="0.25">
      <c r="A344" s="20"/>
      <c r="B344" s="33"/>
      <c r="C344" s="34"/>
      <c r="D344" s="21"/>
      <c r="E344" s="35"/>
      <c r="F344" s="20"/>
      <c r="G344" s="36"/>
      <c r="H344" s="37"/>
      <c r="I344" s="38"/>
      <c r="J344" s="21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 x14ac:dyDescent="0.25">
      <c r="A345" s="20"/>
      <c r="B345" s="33"/>
      <c r="C345" s="34"/>
      <c r="D345" s="21"/>
      <c r="E345" s="35"/>
      <c r="F345" s="20"/>
      <c r="G345" s="36"/>
      <c r="H345" s="37"/>
      <c r="I345" s="38"/>
      <c r="J345" s="21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 x14ac:dyDescent="0.25">
      <c r="A346" s="20"/>
      <c r="B346" s="33"/>
      <c r="C346" s="34"/>
      <c r="D346" s="21"/>
      <c r="E346" s="35"/>
      <c r="F346" s="20"/>
      <c r="G346" s="36"/>
      <c r="H346" s="37"/>
      <c r="I346" s="38"/>
      <c r="J346" s="21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 x14ac:dyDescent="0.25">
      <c r="A347" s="20"/>
      <c r="B347" s="33"/>
      <c r="C347" s="34"/>
      <c r="D347" s="21"/>
      <c r="E347" s="35"/>
      <c r="F347" s="20"/>
      <c r="G347" s="36"/>
      <c r="H347" s="37"/>
      <c r="I347" s="38"/>
      <c r="J347" s="21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 x14ac:dyDescent="0.25">
      <c r="A348" s="20"/>
      <c r="B348" s="33"/>
      <c r="C348" s="34"/>
      <c r="D348" s="21"/>
      <c r="E348" s="35"/>
      <c r="F348" s="20"/>
      <c r="G348" s="36"/>
      <c r="H348" s="37"/>
      <c r="I348" s="38"/>
      <c r="J348" s="21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 x14ac:dyDescent="0.25">
      <c r="A349" s="20"/>
      <c r="B349" s="33"/>
      <c r="C349" s="34"/>
      <c r="D349" s="21"/>
      <c r="E349" s="35"/>
      <c r="F349" s="20"/>
      <c r="G349" s="36"/>
      <c r="H349" s="37"/>
      <c r="I349" s="38"/>
      <c r="J349" s="21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 x14ac:dyDescent="0.25">
      <c r="A350" s="20"/>
      <c r="B350" s="33"/>
      <c r="C350" s="34"/>
      <c r="D350" s="21"/>
      <c r="E350" s="35"/>
      <c r="F350" s="20"/>
      <c r="G350" s="36"/>
      <c r="H350" s="37"/>
      <c r="I350" s="38"/>
      <c r="J350" s="21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 x14ac:dyDescent="0.25">
      <c r="A351" s="20"/>
      <c r="B351" s="33"/>
      <c r="C351" s="34"/>
      <c r="D351" s="21"/>
      <c r="E351" s="35"/>
      <c r="F351" s="20"/>
      <c r="G351" s="36"/>
      <c r="H351" s="37"/>
      <c r="I351" s="38"/>
      <c r="J351" s="21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 x14ac:dyDescent="0.25">
      <c r="A352" s="20"/>
      <c r="B352" s="33"/>
      <c r="C352" s="34"/>
      <c r="D352" s="21"/>
      <c r="E352" s="35"/>
      <c r="F352" s="20"/>
      <c r="G352" s="36"/>
      <c r="H352" s="37"/>
      <c r="I352" s="38"/>
      <c r="J352" s="21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 x14ac:dyDescent="0.25">
      <c r="A353" s="20"/>
      <c r="B353" s="33"/>
      <c r="C353" s="34"/>
      <c r="D353" s="21"/>
      <c r="E353" s="35"/>
      <c r="F353" s="20"/>
      <c r="G353" s="36"/>
      <c r="H353" s="37"/>
      <c r="I353" s="38"/>
      <c r="J353" s="21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 x14ac:dyDescent="0.25">
      <c r="A354" s="20"/>
      <c r="B354" s="33"/>
      <c r="C354" s="34"/>
      <c r="D354" s="21"/>
      <c r="E354" s="35"/>
      <c r="F354" s="20"/>
      <c r="G354" s="36"/>
      <c r="H354" s="37"/>
      <c r="I354" s="38"/>
      <c r="J354" s="21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 x14ac:dyDescent="0.25">
      <c r="A355" s="20"/>
      <c r="B355" s="33"/>
      <c r="C355" s="34"/>
      <c r="D355" s="21"/>
      <c r="E355" s="35"/>
      <c r="F355" s="20"/>
      <c r="G355" s="36"/>
      <c r="H355" s="37"/>
      <c r="I355" s="38"/>
      <c r="J355" s="21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 x14ac:dyDescent="0.25">
      <c r="A356" s="20"/>
      <c r="B356" s="33"/>
      <c r="C356" s="34"/>
      <c r="D356" s="21"/>
      <c r="E356" s="35"/>
      <c r="F356" s="20"/>
      <c r="G356" s="36"/>
      <c r="H356" s="37"/>
      <c r="I356" s="38"/>
      <c r="J356" s="21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 x14ac:dyDescent="0.25">
      <c r="A357" s="20"/>
      <c r="B357" s="33"/>
      <c r="C357" s="34"/>
      <c r="D357" s="21"/>
      <c r="E357" s="35"/>
      <c r="F357" s="20"/>
      <c r="G357" s="36"/>
      <c r="H357" s="37"/>
      <c r="I357" s="38"/>
      <c r="J357" s="21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 x14ac:dyDescent="0.25">
      <c r="A358" s="20"/>
      <c r="B358" s="33"/>
      <c r="C358" s="34"/>
      <c r="D358" s="21"/>
      <c r="E358" s="35"/>
      <c r="F358" s="20"/>
      <c r="G358" s="36"/>
      <c r="H358" s="37"/>
      <c r="I358" s="38"/>
      <c r="J358" s="21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 x14ac:dyDescent="0.25">
      <c r="A359" s="20"/>
      <c r="B359" s="33"/>
      <c r="C359" s="34"/>
      <c r="D359" s="21"/>
      <c r="E359" s="35"/>
      <c r="F359" s="20"/>
      <c r="G359" s="36"/>
      <c r="H359" s="37"/>
      <c r="I359" s="38"/>
      <c r="J359" s="21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 x14ac:dyDescent="0.25">
      <c r="A360" s="20"/>
      <c r="B360" s="33"/>
      <c r="C360" s="34"/>
      <c r="D360" s="21"/>
      <c r="E360" s="35"/>
      <c r="F360" s="20"/>
      <c r="G360" s="36"/>
      <c r="H360" s="37"/>
      <c r="I360" s="38"/>
      <c r="J360" s="21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 x14ac:dyDescent="0.25">
      <c r="A361" s="20"/>
      <c r="B361" s="33"/>
      <c r="C361" s="34"/>
      <c r="D361" s="21"/>
      <c r="E361" s="35"/>
      <c r="F361" s="20"/>
      <c r="G361" s="36"/>
      <c r="H361" s="37"/>
      <c r="I361" s="38"/>
      <c r="J361" s="21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 x14ac:dyDescent="0.25">
      <c r="A362" s="20"/>
      <c r="B362" s="33"/>
      <c r="C362" s="34"/>
      <c r="D362" s="21"/>
      <c r="E362" s="35"/>
      <c r="F362" s="20"/>
      <c r="G362" s="36"/>
      <c r="H362" s="37"/>
      <c r="I362" s="38"/>
      <c r="J362" s="21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 x14ac:dyDescent="0.25">
      <c r="A363" s="20"/>
      <c r="B363" s="33"/>
      <c r="C363" s="34"/>
      <c r="D363" s="21"/>
      <c r="E363" s="35"/>
      <c r="F363" s="20"/>
      <c r="G363" s="36"/>
      <c r="H363" s="37"/>
      <c r="I363" s="38"/>
      <c r="J363" s="21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 x14ac:dyDescent="0.25">
      <c r="A364" s="20"/>
      <c r="B364" s="33"/>
      <c r="C364" s="34"/>
      <c r="D364" s="21"/>
      <c r="E364" s="35"/>
      <c r="F364" s="20"/>
      <c r="G364" s="36"/>
      <c r="H364" s="37"/>
      <c r="I364" s="38"/>
      <c r="J364" s="21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 x14ac:dyDescent="0.25">
      <c r="A365" s="20"/>
      <c r="B365" s="33"/>
      <c r="C365" s="34"/>
      <c r="D365" s="21"/>
      <c r="E365" s="35"/>
      <c r="F365" s="20"/>
      <c r="G365" s="36"/>
      <c r="H365" s="37"/>
      <c r="I365" s="38"/>
      <c r="J365" s="21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 x14ac:dyDescent="0.25">
      <c r="A366" s="20"/>
      <c r="B366" s="33"/>
      <c r="C366" s="34"/>
      <c r="D366" s="21"/>
      <c r="E366" s="35"/>
      <c r="F366" s="20"/>
      <c r="G366" s="36"/>
      <c r="H366" s="37"/>
      <c r="I366" s="38"/>
      <c r="J366" s="21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 x14ac:dyDescent="0.25">
      <c r="A367" s="20"/>
      <c r="B367" s="33"/>
      <c r="C367" s="34"/>
      <c r="D367" s="21"/>
      <c r="E367" s="35"/>
      <c r="F367" s="20"/>
      <c r="G367" s="36"/>
      <c r="H367" s="37"/>
      <c r="I367" s="38"/>
      <c r="J367" s="21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 x14ac:dyDescent="0.25">
      <c r="A368" s="20"/>
      <c r="B368" s="33"/>
      <c r="C368" s="34"/>
      <c r="D368" s="21"/>
      <c r="E368" s="35"/>
      <c r="F368" s="20"/>
      <c r="G368" s="36"/>
      <c r="H368" s="37"/>
      <c r="I368" s="38"/>
      <c r="J368" s="21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 x14ac:dyDescent="0.25">
      <c r="A369" s="20"/>
      <c r="B369" s="33"/>
      <c r="C369" s="34"/>
      <c r="D369" s="21"/>
      <c r="E369" s="35"/>
      <c r="F369" s="20"/>
      <c r="G369" s="36"/>
      <c r="H369" s="37"/>
      <c r="I369" s="38"/>
      <c r="J369" s="21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 x14ac:dyDescent="0.25">
      <c r="A370" s="20"/>
      <c r="B370" s="33"/>
      <c r="C370" s="34"/>
      <c r="D370" s="21"/>
      <c r="E370" s="35"/>
      <c r="F370" s="20"/>
      <c r="G370" s="36"/>
      <c r="H370" s="37"/>
      <c r="I370" s="38"/>
      <c r="J370" s="21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 x14ac:dyDescent="0.25">
      <c r="A371" s="20"/>
      <c r="B371" s="33"/>
      <c r="C371" s="34"/>
      <c r="D371" s="21"/>
      <c r="E371" s="35"/>
      <c r="F371" s="20"/>
      <c r="G371" s="36"/>
      <c r="H371" s="37"/>
      <c r="I371" s="38"/>
      <c r="J371" s="21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 x14ac:dyDescent="0.25">
      <c r="A372" s="20"/>
      <c r="B372" s="33"/>
      <c r="C372" s="34"/>
      <c r="D372" s="21"/>
      <c r="E372" s="35"/>
      <c r="F372" s="20"/>
      <c r="G372" s="36"/>
      <c r="H372" s="37"/>
      <c r="I372" s="38"/>
      <c r="J372" s="21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 x14ac:dyDescent="0.25">
      <c r="A373" s="20"/>
      <c r="B373" s="33"/>
      <c r="C373" s="34"/>
      <c r="D373" s="21"/>
      <c r="E373" s="35"/>
      <c r="F373" s="20"/>
      <c r="G373" s="36"/>
      <c r="H373" s="37"/>
      <c r="I373" s="38"/>
      <c r="J373" s="21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 x14ac:dyDescent="0.25">
      <c r="A374" s="20"/>
      <c r="B374" s="33"/>
      <c r="C374" s="34"/>
      <c r="D374" s="21"/>
      <c r="E374" s="35"/>
      <c r="F374" s="20"/>
      <c r="G374" s="36"/>
      <c r="H374" s="37"/>
      <c r="I374" s="38"/>
      <c r="J374" s="21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 x14ac:dyDescent="0.25">
      <c r="A375" s="20"/>
      <c r="B375" s="33"/>
      <c r="C375" s="34"/>
      <c r="D375" s="21"/>
      <c r="E375" s="35"/>
      <c r="F375" s="20"/>
      <c r="G375" s="36"/>
      <c r="H375" s="37"/>
      <c r="I375" s="38"/>
      <c r="J375" s="21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 x14ac:dyDescent="0.25">
      <c r="A376" s="20"/>
      <c r="B376" s="33"/>
      <c r="C376" s="34"/>
      <c r="D376" s="21"/>
      <c r="E376" s="35"/>
      <c r="F376" s="20"/>
      <c r="G376" s="36"/>
      <c r="H376" s="37"/>
      <c r="I376" s="38"/>
      <c r="J376" s="21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 x14ac:dyDescent="0.25">
      <c r="A377" s="20"/>
      <c r="B377" s="33"/>
      <c r="C377" s="34"/>
      <c r="D377" s="21"/>
      <c r="E377" s="35"/>
      <c r="F377" s="20"/>
      <c r="G377" s="36"/>
      <c r="H377" s="37"/>
      <c r="I377" s="38"/>
      <c r="J377" s="21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 x14ac:dyDescent="0.25">
      <c r="A378" s="20"/>
      <c r="B378" s="33"/>
      <c r="C378" s="34"/>
      <c r="D378" s="21"/>
      <c r="E378" s="35"/>
      <c r="F378" s="20"/>
      <c r="G378" s="36"/>
      <c r="H378" s="37"/>
      <c r="I378" s="38"/>
      <c r="J378" s="21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 x14ac:dyDescent="0.25">
      <c r="A379" s="20"/>
      <c r="B379" s="33"/>
      <c r="C379" s="34"/>
      <c r="D379" s="21"/>
      <c r="E379" s="35"/>
      <c r="F379" s="20"/>
      <c r="G379" s="36"/>
      <c r="H379" s="37"/>
      <c r="I379" s="38"/>
      <c r="J379" s="21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 x14ac:dyDescent="0.25">
      <c r="A380" s="20"/>
      <c r="B380" s="33"/>
      <c r="C380" s="34"/>
      <c r="D380" s="21"/>
      <c r="E380" s="35"/>
      <c r="F380" s="20"/>
      <c r="G380" s="36"/>
      <c r="H380" s="37"/>
      <c r="I380" s="38"/>
      <c r="J380" s="21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 x14ac:dyDescent="0.25">
      <c r="A381" s="20"/>
      <c r="B381" s="33"/>
      <c r="C381" s="34"/>
      <c r="D381" s="21"/>
      <c r="E381" s="35"/>
      <c r="F381" s="20"/>
      <c r="G381" s="36"/>
      <c r="H381" s="37"/>
      <c r="I381" s="38"/>
      <c r="J381" s="21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 x14ac:dyDescent="0.25">
      <c r="A382" s="20"/>
      <c r="B382" s="33"/>
      <c r="C382" s="34"/>
      <c r="D382" s="21"/>
      <c r="E382" s="35"/>
      <c r="F382" s="20"/>
      <c r="G382" s="36"/>
      <c r="H382" s="37"/>
      <c r="I382" s="38"/>
      <c r="J382" s="21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 x14ac:dyDescent="0.25">
      <c r="A383" s="20"/>
      <c r="B383" s="33"/>
      <c r="C383" s="34"/>
      <c r="D383" s="21"/>
      <c r="E383" s="35"/>
      <c r="F383" s="20"/>
      <c r="G383" s="36"/>
      <c r="H383" s="37"/>
      <c r="I383" s="38"/>
      <c r="J383" s="21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 x14ac:dyDescent="0.25">
      <c r="A384" s="20"/>
      <c r="B384" s="33"/>
      <c r="C384" s="34"/>
      <c r="D384" s="21"/>
      <c r="E384" s="35"/>
      <c r="F384" s="20"/>
      <c r="G384" s="36"/>
      <c r="H384" s="37"/>
      <c r="I384" s="38"/>
      <c r="J384" s="21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 x14ac:dyDescent="0.25">
      <c r="A385" s="20"/>
      <c r="B385" s="33"/>
      <c r="C385" s="34"/>
      <c r="D385" s="21"/>
      <c r="E385" s="35"/>
      <c r="F385" s="20"/>
      <c r="G385" s="36"/>
      <c r="H385" s="37"/>
      <c r="I385" s="38"/>
      <c r="J385" s="21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 x14ac:dyDescent="0.25">
      <c r="A386" s="20"/>
      <c r="B386" s="33"/>
      <c r="C386" s="34"/>
      <c r="D386" s="21"/>
      <c r="E386" s="35"/>
      <c r="F386" s="20"/>
      <c r="G386" s="36"/>
      <c r="H386" s="37"/>
      <c r="I386" s="38"/>
      <c r="J386" s="21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 x14ac:dyDescent="0.25">
      <c r="A387" s="20"/>
      <c r="B387" s="33"/>
      <c r="C387" s="34"/>
      <c r="D387" s="21"/>
      <c r="E387" s="35"/>
      <c r="F387" s="20"/>
      <c r="G387" s="36"/>
      <c r="H387" s="37"/>
      <c r="I387" s="38"/>
      <c r="J387" s="21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 x14ac:dyDescent="0.25">
      <c r="A388" s="20"/>
      <c r="B388" s="33"/>
      <c r="C388" s="34"/>
      <c r="D388" s="21"/>
      <c r="E388" s="35"/>
      <c r="F388" s="20"/>
      <c r="G388" s="36"/>
      <c r="H388" s="37"/>
      <c r="I388" s="38"/>
      <c r="J388" s="21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 x14ac:dyDescent="0.25">
      <c r="A389" s="20"/>
      <c r="B389" s="33"/>
      <c r="C389" s="34"/>
      <c r="D389" s="21"/>
      <c r="E389" s="35"/>
      <c r="F389" s="20"/>
      <c r="G389" s="36"/>
      <c r="H389" s="37"/>
      <c r="I389" s="38"/>
      <c r="J389" s="21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 x14ac:dyDescent="0.25">
      <c r="A390" s="20"/>
      <c r="B390" s="33"/>
      <c r="C390" s="34"/>
      <c r="D390" s="21"/>
      <c r="E390" s="35"/>
      <c r="F390" s="20"/>
      <c r="G390" s="36"/>
      <c r="H390" s="37"/>
      <c r="I390" s="38"/>
      <c r="J390" s="21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 x14ac:dyDescent="0.25">
      <c r="A391" s="20"/>
      <c r="B391" s="33"/>
      <c r="C391" s="34"/>
      <c r="D391" s="21"/>
      <c r="E391" s="35"/>
      <c r="F391" s="20"/>
      <c r="G391" s="36"/>
      <c r="H391" s="37"/>
      <c r="I391" s="38"/>
      <c r="J391" s="21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 x14ac:dyDescent="0.25">
      <c r="A392" s="20"/>
      <c r="B392" s="33"/>
      <c r="C392" s="34"/>
      <c r="D392" s="21"/>
      <c r="E392" s="35"/>
      <c r="F392" s="20"/>
      <c r="G392" s="36"/>
      <c r="H392" s="37"/>
      <c r="I392" s="38"/>
      <c r="J392" s="21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 x14ac:dyDescent="0.25">
      <c r="A393" s="20"/>
      <c r="B393" s="33"/>
      <c r="C393" s="34"/>
      <c r="D393" s="21"/>
      <c r="E393" s="35"/>
      <c r="F393" s="20"/>
      <c r="G393" s="36"/>
      <c r="H393" s="37"/>
      <c r="I393" s="38"/>
      <c r="J393" s="21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 x14ac:dyDescent="0.25">
      <c r="A394" s="20"/>
      <c r="B394" s="33"/>
      <c r="C394" s="34"/>
      <c r="D394" s="21"/>
      <c r="E394" s="35"/>
      <c r="F394" s="20"/>
      <c r="G394" s="36"/>
      <c r="H394" s="37"/>
      <c r="I394" s="38"/>
      <c r="J394" s="21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 x14ac:dyDescent="0.25">
      <c r="A395" s="20"/>
      <c r="B395" s="33"/>
      <c r="C395" s="34"/>
      <c r="D395" s="21"/>
      <c r="E395" s="35"/>
      <c r="F395" s="20"/>
      <c r="G395" s="36"/>
      <c r="H395" s="37"/>
      <c r="I395" s="38"/>
      <c r="J395" s="21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 x14ac:dyDescent="0.25">
      <c r="A396" s="20"/>
      <c r="B396" s="33"/>
      <c r="C396" s="34"/>
      <c r="D396" s="21"/>
      <c r="E396" s="35"/>
      <c r="F396" s="20"/>
      <c r="G396" s="36"/>
      <c r="H396" s="37"/>
      <c r="I396" s="38"/>
      <c r="J396" s="21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 x14ac:dyDescent="0.25">
      <c r="A397" s="20"/>
      <c r="B397" s="33"/>
      <c r="C397" s="34"/>
      <c r="D397" s="21"/>
      <c r="E397" s="35"/>
      <c r="F397" s="20"/>
      <c r="G397" s="36"/>
      <c r="H397" s="37"/>
      <c r="I397" s="38"/>
      <c r="J397" s="21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 x14ac:dyDescent="0.25">
      <c r="A398" s="20"/>
      <c r="B398" s="33"/>
      <c r="C398" s="34"/>
      <c r="D398" s="21"/>
      <c r="E398" s="35"/>
      <c r="F398" s="20"/>
      <c r="G398" s="36"/>
      <c r="H398" s="37"/>
      <c r="I398" s="38"/>
      <c r="J398" s="21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 x14ac:dyDescent="0.25">
      <c r="A399" s="20"/>
      <c r="B399" s="33"/>
      <c r="C399" s="34"/>
      <c r="D399" s="21"/>
      <c r="E399" s="35"/>
      <c r="F399" s="20"/>
      <c r="G399" s="36"/>
      <c r="H399" s="37"/>
      <c r="I399" s="38"/>
      <c r="J399" s="21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 x14ac:dyDescent="0.25">
      <c r="A400" s="20"/>
      <c r="B400" s="33"/>
      <c r="C400" s="34"/>
      <c r="D400" s="21"/>
      <c r="E400" s="35"/>
      <c r="F400" s="20"/>
      <c r="G400" s="36"/>
      <c r="H400" s="37"/>
      <c r="I400" s="38"/>
      <c r="J400" s="21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 x14ac:dyDescent="0.25">
      <c r="A401" s="20"/>
      <c r="B401" s="33"/>
      <c r="C401" s="34"/>
      <c r="D401" s="21"/>
      <c r="E401" s="35"/>
      <c r="F401" s="20"/>
      <c r="G401" s="36"/>
      <c r="H401" s="37"/>
      <c r="I401" s="38"/>
      <c r="J401" s="21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 x14ac:dyDescent="0.25">
      <c r="A402" s="20"/>
      <c r="B402" s="33"/>
      <c r="C402" s="34"/>
      <c r="D402" s="21"/>
      <c r="E402" s="35"/>
      <c r="F402" s="20"/>
      <c r="G402" s="36"/>
      <c r="H402" s="37"/>
      <c r="I402" s="38"/>
      <c r="J402" s="21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 x14ac:dyDescent="0.25">
      <c r="A403" s="20"/>
      <c r="B403" s="33"/>
      <c r="C403" s="34"/>
      <c r="D403" s="21"/>
      <c r="E403" s="35"/>
      <c r="F403" s="20"/>
      <c r="G403" s="36"/>
      <c r="H403" s="37"/>
      <c r="I403" s="38"/>
      <c r="J403" s="21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 x14ac:dyDescent="0.25">
      <c r="A404" s="20"/>
      <c r="B404" s="33"/>
      <c r="C404" s="34"/>
      <c r="D404" s="21"/>
      <c r="E404" s="35"/>
      <c r="F404" s="20"/>
      <c r="G404" s="36"/>
      <c r="H404" s="37"/>
      <c r="I404" s="38"/>
      <c r="J404" s="21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 x14ac:dyDescent="0.25">
      <c r="A405" s="20"/>
      <c r="B405" s="33"/>
      <c r="C405" s="34"/>
      <c r="D405" s="21"/>
      <c r="E405" s="35"/>
      <c r="F405" s="20"/>
      <c r="G405" s="36"/>
      <c r="H405" s="37"/>
      <c r="I405" s="38"/>
      <c r="J405" s="21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 x14ac:dyDescent="0.25">
      <c r="A406" s="20"/>
      <c r="B406" s="33"/>
      <c r="C406" s="34"/>
      <c r="D406" s="21"/>
      <c r="E406" s="35"/>
      <c r="F406" s="20"/>
      <c r="G406" s="36"/>
      <c r="H406" s="37"/>
      <c r="I406" s="38"/>
      <c r="J406" s="21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 x14ac:dyDescent="0.25">
      <c r="A407" s="20"/>
      <c r="B407" s="33"/>
      <c r="C407" s="34"/>
      <c r="D407" s="21"/>
      <c r="E407" s="35"/>
      <c r="F407" s="20"/>
      <c r="G407" s="36"/>
      <c r="H407" s="37"/>
      <c r="I407" s="38"/>
      <c r="J407" s="21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 x14ac:dyDescent="0.25">
      <c r="A408" s="20"/>
      <c r="B408" s="33"/>
      <c r="C408" s="34"/>
      <c r="D408" s="21"/>
      <c r="E408" s="35"/>
      <c r="F408" s="20"/>
      <c r="G408" s="36"/>
      <c r="H408" s="37"/>
      <c r="I408" s="38"/>
      <c r="J408" s="21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 x14ac:dyDescent="0.25">
      <c r="A409" s="20"/>
      <c r="B409" s="33"/>
      <c r="C409" s="34"/>
      <c r="D409" s="21"/>
      <c r="E409" s="35"/>
      <c r="F409" s="20"/>
      <c r="G409" s="36"/>
      <c r="H409" s="37"/>
      <c r="I409" s="38"/>
      <c r="J409" s="21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 x14ac:dyDescent="0.25">
      <c r="A410" s="20"/>
      <c r="B410" s="33"/>
      <c r="C410" s="34"/>
      <c r="D410" s="21"/>
      <c r="E410" s="35"/>
      <c r="F410" s="20"/>
      <c r="G410" s="36"/>
      <c r="H410" s="37"/>
      <c r="I410" s="38"/>
      <c r="J410" s="21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 x14ac:dyDescent="0.25">
      <c r="A411" s="20"/>
      <c r="B411" s="33"/>
      <c r="C411" s="34"/>
      <c r="D411" s="21"/>
      <c r="E411" s="35"/>
      <c r="F411" s="20"/>
      <c r="G411" s="36"/>
      <c r="H411" s="37"/>
      <c r="I411" s="38"/>
      <c r="J411" s="21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 x14ac:dyDescent="0.25">
      <c r="A412" s="20"/>
      <c r="B412" s="33"/>
      <c r="C412" s="34"/>
      <c r="D412" s="21"/>
      <c r="E412" s="35"/>
      <c r="F412" s="20"/>
      <c r="G412" s="36"/>
      <c r="H412" s="37"/>
      <c r="I412" s="38"/>
      <c r="J412" s="21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 x14ac:dyDescent="0.25">
      <c r="A413" s="20"/>
      <c r="B413" s="33"/>
      <c r="C413" s="34"/>
      <c r="D413" s="21"/>
      <c r="E413" s="35"/>
      <c r="F413" s="20"/>
      <c r="G413" s="36"/>
      <c r="H413" s="37"/>
      <c r="I413" s="38"/>
      <c r="J413" s="21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 x14ac:dyDescent="0.25">
      <c r="A414" s="20"/>
      <c r="B414" s="33"/>
      <c r="C414" s="34"/>
      <c r="D414" s="21"/>
      <c r="E414" s="35"/>
      <c r="F414" s="20"/>
      <c r="G414" s="36"/>
      <c r="H414" s="37"/>
      <c r="I414" s="38"/>
      <c r="J414" s="21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 x14ac:dyDescent="0.25">
      <c r="A415" s="20"/>
      <c r="B415" s="33"/>
      <c r="C415" s="34"/>
      <c r="D415" s="21"/>
      <c r="E415" s="35"/>
      <c r="F415" s="20"/>
      <c r="G415" s="36"/>
      <c r="H415" s="37"/>
      <c r="I415" s="38"/>
      <c r="J415" s="21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 x14ac:dyDescent="0.25">
      <c r="A416" s="20"/>
      <c r="B416" s="33"/>
      <c r="C416" s="34"/>
      <c r="D416" s="21"/>
      <c r="E416" s="35"/>
      <c r="F416" s="20"/>
      <c r="G416" s="36"/>
      <c r="H416" s="37"/>
      <c r="I416" s="38"/>
      <c r="J416" s="21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 x14ac:dyDescent="0.25">
      <c r="A417" s="20"/>
      <c r="B417" s="33"/>
      <c r="C417" s="34"/>
      <c r="D417" s="21"/>
      <c r="E417" s="35"/>
      <c r="F417" s="20"/>
      <c r="G417" s="36"/>
      <c r="H417" s="37"/>
      <c r="I417" s="38"/>
      <c r="J417" s="21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5">
      <c r="A418" s="20"/>
      <c r="B418" s="33"/>
      <c r="C418" s="34"/>
      <c r="D418" s="21"/>
      <c r="E418" s="35"/>
      <c r="F418" s="20"/>
      <c r="G418" s="36"/>
      <c r="H418" s="37"/>
      <c r="I418" s="38"/>
      <c r="J418" s="21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5">
      <c r="A419" s="20"/>
      <c r="B419" s="33"/>
      <c r="C419" s="34"/>
      <c r="D419" s="21"/>
      <c r="E419" s="35"/>
      <c r="F419" s="20"/>
      <c r="G419" s="36"/>
      <c r="H419" s="37"/>
      <c r="I419" s="38"/>
      <c r="J419" s="21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5">
      <c r="A420" s="20"/>
      <c r="B420" s="33"/>
      <c r="C420" s="34"/>
      <c r="D420" s="21"/>
      <c r="E420" s="35"/>
      <c r="F420" s="20"/>
      <c r="G420" s="36"/>
      <c r="H420" s="37"/>
      <c r="I420" s="38"/>
      <c r="J420" s="21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 x14ac:dyDescent="0.25">
      <c r="A421" s="20"/>
      <c r="B421" s="33"/>
      <c r="C421" s="34"/>
      <c r="D421" s="21"/>
      <c r="E421" s="35"/>
      <c r="F421" s="20"/>
      <c r="G421" s="36"/>
      <c r="H421" s="37"/>
      <c r="I421" s="38"/>
      <c r="J421" s="21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5">
      <c r="A422" s="20"/>
      <c r="B422" s="33"/>
      <c r="C422" s="34"/>
      <c r="D422" s="21"/>
      <c r="E422" s="35"/>
      <c r="F422" s="20"/>
      <c r="G422" s="36"/>
      <c r="H422" s="37"/>
      <c r="I422" s="38"/>
      <c r="J422" s="21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 x14ac:dyDescent="0.25">
      <c r="A423" s="20"/>
      <c r="B423" s="33"/>
      <c r="C423" s="34"/>
      <c r="D423" s="21"/>
      <c r="E423" s="35"/>
      <c r="F423" s="20"/>
      <c r="G423" s="36"/>
      <c r="H423" s="37"/>
      <c r="I423" s="38"/>
      <c r="J423" s="21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 x14ac:dyDescent="0.25">
      <c r="A424" s="20"/>
      <c r="B424" s="33"/>
      <c r="C424" s="34"/>
      <c r="D424" s="21"/>
      <c r="E424" s="35"/>
      <c r="F424" s="20"/>
      <c r="G424" s="36"/>
      <c r="H424" s="37"/>
      <c r="I424" s="38"/>
      <c r="J424" s="21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 x14ac:dyDescent="0.25">
      <c r="A425" s="20"/>
      <c r="B425" s="33"/>
      <c r="C425" s="34"/>
      <c r="D425" s="21"/>
      <c r="E425" s="35"/>
      <c r="F425" s="20"/>
      <c r="G425" s="36"/>
      <c r="H425" s="37"/>
      <c r="I425" s="38"/>
      <c r="J425" s="21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 x14ac:dyDescent="0.25">
      <c r="A426" s="20"/>
      <c r="B426" s="33"/>
      <c r="C426" s="34"/>
      <c r="D426" s="21"/>
      <c r="E426" s="35"/>
      <c r="F426" s="20"/>
      <c r="G426" s="36"/>
      <c r="H426" s="37"/>
      <c r="I426" s="38"/>
      <c r="J426" s="21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 x14ac:dyDescent="0.25">
      <c r="A427" s="20"/>
      <c r="B427" s="33"/>
      <c r="C427" s="34"/>
      <c r="D427" s="21"/>
      <c r="E427" s="35"/>
      <c r="F427" s="20"/>
      <c r="G427" s="36"/>
      <c r="H427" s="37"/>
      <c r="I427" s="38"/>
      <c r="J427" s="21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5">
      <c r="A428" s="20"/>
      <c r="B428" s="33"/>
      <c r="C428" s="34"/>
      <c r="D428" s="21"/>
      <c r="E428" s="35"/>
      <c r="F428" s="20"/>
      <c r="G428" s="36"/>
      <c r="H428" s="37"/>
      <c r="I428" s="38"/>
      <c r="J428" s="21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5">
      <c r="A429" s="20"/>
      <c r="B429" s="33"/>
      <c r="C429" s="34"/>
      <c r="D429" s="21"/>
      <c r="E429" s="35"/>
      <c r="F429" s="20"/>
      <c r="G429" s="36"/>
      <c r="H429" s="37"/>
      <c r="I429" s="38"/>
      <c r="J429" s="21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5">
      <c r="A430" s="20"/>
      <c r="B430" s="33"/>
      <c r="C430" s="34"/>
      <c r="D430" s="21"/>
      <c r="E430" s="35"/>
      <c r="F430" s="20"/>
      <c r="G430" s="36"/>
      <c r="H430" s="37"/>
      <c r="I430" s="38"/>
      <c r="J430" s="21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5">
      <c r="A431" s="20"/>
      <c r="B431" s="33"/>
      <c r="C431" s="34"/>
      <c r="D431" s="21"/>
      <c r="E431" s="35"/>
      <c r="F431" s="20"/>
      <c r="G431" s="36"/>
      <c r="H431" s="37"/>
      <c r="I431" s="38"/>
      <c r="J431" s="21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5">
      <c r="A432" s="20"/>
      <c r="B432" s="33"/>
      <c r="C432" s="34"/>
      <c r="D432" s="21"/>
      <c r="E432" s="35"/>
      <c r="F432" s="20"/>
      <c r="G432" s="36"/>
      <c r="H432" s="37"/>
      <c r="I432" s="38"/>
      <c r="J432" s="21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 x14ac:dyDescent="0.25">
      <c r="A433" s="20"/>
      <c r="B433" s="33"/>
      <c r="C433" s="34"/>
      <c r="D433" s="21"/>
      <c r="E433" s="35"/>
      <c r="F433" s="20"/>
      <c r="G433" s="36"/>
      <c r="H433" s="37"/>
      <c r="I433" s="38"/>
      <c r="J433" s="21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 x14ac:dyDescent="0.25">
      <c r="A434" s="20"/>
      <c r="B434" s="33"/>
      <c r="C434" s="34"/>
      <c r="D434" s="21"/>
      <c r="E434" s="35"/>
      <c r="F434" s="20"/>
      <c r="G434" s="36"/>
      <c r="H434" s="37"/>
      <c r="I434" s="38"/>
      <c r="J434" s="21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 x14ac:dyDescent="0.25">
      <c r="A435" s="20"/>
      <c r="B435" s="33"/>
      <c r="C435" s="34"/>
      <c r="D435" s="21"/>
      <c r="E435" s="35"/>
      <c r="F435" s="20"/>
      <c r="G435" s="36"/>
      <c r="H435" s="37"/>
      <c r="I435" s="38"/>
      <c r="J435" s="21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 x14ac:dyDescent="0.25">
      <c r="A436" s="20"/>
      <c r="B436" s="33"/>
      <c r="C436" s="34"/>
      <c r="D436" s="21"/>
      <c r="E436" s="35"/>
      <c r="F436" s="20"/>
      <c r="G436" s="36"/>
      <c r="H436" s="37"/>
      <c r="I436" s="38"/>
      <c r="J436" s="21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5">
      <c r="A437" s="20"/>
      <c r="B437" s="33"/>
      <c r="C437" s="34"/>
      <c r="D437" s="21"/>
      <c r="E437" s="35"/>
      <c r="F437" s="20"/>
      <c r="G437" s="36"/>
      <c r="H437" s="37"/>
      <c r="I437" s="38"/>
      <c r="J437" s="21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5">
      <c r="A438" s="20"/>
      <c r="B438" s="33"/>
      <c r="C438" s="34"/>
      <c r="D438" s="21"/>
      <c r="E438" s="35"/>
      <c r="F438" s="20"/>
      <c r="G438" s="36"/>
      <c r="H438" s="37"/>
      <c r="I438" s="38"/>
      <c r="J438" s="21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 x14ac:dyDescent="0.25">
      <c r="A439" s="20"/>
      <c r="B439" s="33"/>
      <c r="C439" s="34"/>
      <c r="D439" s="21"/>
      <c r="E439" s="35"/>
      <c r="F439" s="20"/>
      <c r="G439" s="36"/>
      <c r="H439" s="37"/>
      <c r="I439" s="38"/>
      <c r="J439" s="21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5">
      <c r="A440" s="20"/>
      <c r="B440" s="33"/>
      <c r="C440" s="34"/>
      <c r="D440" s="21"/>
      <c r="E440" s="35"/>
      <c r="F440" s="20"/>
      <c r="G440" s="36"/>
      <c r="H440" s="37"/>
      <c r="I440" s="38"/>
      <c r="J440" s="21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 x14ac:dyDescent="0.25">
      <c r="A441" s="20"/>
      <c r="B441" s="33"/>
      <c r="C441" s="34"/>
      <c r="D441" s="21"/>
      <c r="E441" s="35"/>
      <c r="F441" s="20"/>
      <c r="G441" s="36"/>
      <c r="H441" s="37"/>
      <c r="I441" s="38"/>
      <c r="J441" s="21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 x14ac:dyDescent="0.25">
      <c r="A442" s="20"/>
      <c r="B442" s="33"/>
      <c r="C442" s="34"/>
      <c r="D442" s="21"/>
      <c r="E442" s="35"/>
      <c r="F442" s="20"/>
      <c r="G442" s="36"/>
      <c r="H442" s="37"/>
      <c r="I442" s="38"/>
      <c r="J442" s="21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 x14ac:dyDescent="0.25">
      <c r="A443" s="20"/>
      <c r="B443" s="33"/>
      <c r="C443" s="34"/>
      <c r="D443" s="21"/>
      <c r="E443" s="35"/>
      <c r="F443" s="20"/>
      <c r="G443" s="36"/>
      <c r="H443" s="37"/>
      <c r="I443" s="38"/>
      <c r="J443" s="21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 x14ac:dyDescent="0.25">
      <c r="A444" s="20"/>
      <c r="B444" s="33"/>
      <c r="C444" s="34"/>
      <c r="D444" s="21"/>
      <c r="E444" s="35"/>
      <c r="F444" s="20"/>
      <c r="G444" s="36"/>
      <c r="H444" s="37"/>
      <c r="I444" s="38"/>
      <c r="J444" s="21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 x14ac:dyDescent="0.25">
      <c r="A445" s="20"/>
      <c r="B445" s="33"/>
      <c r="C445" s="34"/>
      <c r="D445" s="21"/>
      <c r="E445" s="35"/>
      <c r="F445" s="20"/>
      <c r="G445" s="36"/>
      <c r="H445" s="37"/>
      <c r="I445" s="38"/>
      <c r="J445" s="21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 x14ac:dyDescent="0.25">
      <c r="A446" s="20"/>
      <c r="B446" s="33"/>
      <c r="C446" s="34"/>
      <c r="D446" s="21"/>
      <c r="E446" s="35"/>
      <c r="F446" s="20"/>
      <c r="G446" s="36"/>
      <c r="H446" s="37"/>
      <c r="I446" s="38"/>
      <c r="J446" s="21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 x14ac:dyDescent="0.25">
      <c r="A447" s="20"/>
      <c r="B447" s="33"/>
      <c r="C447" s="34"/>
      <c r="D447" s="21"/>
      <c r="E447" s="35"/>
      <c r="F447" s="20"/>
      <c r="G447" s="36"/>
      <c r="H447" s="37"/>
      <c r="I447" s="38"/>
      <c r="J447" s="21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 x14ac:dyDescent="0.25">
      <c r="A448" s="20"/>
      <c r="B448" s="33"/>
      <c r="C448" s="34"/>
      <c r="D448" s="21"/>
      <c r="E448" s="35"/>
      <c r="F448" s="20"/>
      <c r="G448" s="36"/>
      <c r="H448" s="37"/>
      <c r="I448" s="38"/>
      <c r="J448" s="21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 x14ac:dyDescent="0.25">
      <c r="A449" s="20"/>
      <c r="B449" s="33"/>
      <c r="C449" s="34"/>
      <c r="D449" s="21"/>
      <c r="E449" s="35"/>
      <c r="F449" s="20"/>
      <c r="G449" s="36"/>
      <c r="H449" s="37"/>
      <c r="I449" s="38"/>
      <c r="J449" s="21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 x14ac:dyDescent="0.25">
      <c r="A450" s="20"/>
      <c r="B450" s="33"/>
      <c r="C450" s="34"/>
      <c r="D450" s="21"/>
      <c r="E450" s="35"/>
      <c r="F450" s="20"/>
      <c r="G450" s="36"/>
      <c r="H450" s="37"/>
      <c r="I450" s="38"/>
      <c r="J450" s="21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 x14ac:dyDescent="0.25">
      <c r="A451" s="20"/>
      <c r="B451" s="33"/>
      <c r="C451" s="34"/>
      <c r="D451" s="21"/>
      <c r="E451" s="35"/>
      <c r="F451" s="20"/>
      <c r="G451" s="36"/>
      <c r="H451" s="37"/>
      <c r="I451" s="38"/>
      <c r="J451" s="21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 x14ac:dyDescent="0.25">
      <c r="A452" s="20"/>
      <c r="B452" s="33"/>
      <c r="C452" s="34"/>
      <c r="D452" s="21"/>
      <c r="E452" s="35"/>
      <c r="F452" s="20"/>
      <c r="G452" s="36"/>
      <c r="H452" s="37"/>
      <c r="I452" s="38"/>
      <c r="J452" s="21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 x14ac:dyDescent="0.25">
      <c r="A453" s="20"/>
      <c r="B453" s="33"/>
      <c r="C453" s="34"/>
      <c r="D453" s="21"/>
      <c r="E453" s="35"/>
      <c r="F453" s="20"/>
      <c r="G453" s="36"/>
      <c r="H453" s="37"/>
      <c r="I453" s="38"/>
      <c r="J453" s="21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 x14ac:dyDescent="0.25">
      <c r="A454" s="20"/>
      <c r="B454" s="33"/>
      <c r="C454" s="34"/>
      <c r="D454" s="21"/>
      <c r="E454" s="35"/>
      <c r="F454" s="20"/>
      <c r="G454" s="36"/>
      <c r="H454" s="37"/>
      <c r="I454" s="38"/>
      <c r="J454" s="21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 x14ac:dyDescent="0.25">
      <c r="A455" s="20"/>
      <c r="B455" s="33"/>
      <c r="C455" s="34"/>
      <c r="D455" s="21"/>
      <c r="E455" s="35"/>
      <c r="F455" s="20"/>
      <c r="G455" s="36"/>
      <c r="H455" s="37"/>
      <c r="I455" s="38"/>
      <c r="J455" s="21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 x14ac:dyDescent="0.25">
      <c r="A456" s="20"/>
      <c r="B456" s="33"/>
      <c r="C456" s="34"/>
      <c r="D456" s="21"/>
      <c r="E456" s="35"/>
      <c r="F456" s="20"/>
      <c r="G456" s="36"/>
      <c r="H456" s="37"/>
      <c r="I456" s="38"/>
      <c r="J456" s="21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 x14ac:dyDescent="0.25">
      <c r="A457" s="20"/>
      <c r="B457" s="33"/>
      <c r="C457" s="34"/>
      <c r="D457" s="21"/>
      <c r="E457" s="35"/>
      <c r="F457" s="20"/>
      <c r="G457" s="36"/>
      <c r="H457" s="37"/>
      <c r="I457" s="38"/>
      <c r="J457" s="21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 x14ac:dyDescent="0.25">
      <c r="A458" s="20"/>
      <c r="B458" s="33"/>
      <c r="C458" s="34"/>
      <c r="D458" s="21"/>
      <c r="E458" s="35"/>
      <c r="F458" s="20"/>
      <c r="G458" s="36"/>
      <c r="H458" s="37"/>
      <c r="I458" s="38"/>
      <c r="J458" s="21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 x14ac:dyDescent="0.25">
      <c r="A459" s="20"/>
      <c r="B459" s="33"/>
      <c r="C459" s="34"/>
      <c r="D459" s="21"/>
      <c r="E459" s="35"/>
      <c r="F459" s="20"/>
      <c r="G459" s="36"/>
      <c r="H459" s="37"/>
      <c r="I459" s="38"/>
      <c r="J459" s="21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 x14ac:dyDescent="0.25">
      <c r="A460" s="20"/>
      <c r="B460" s="33"/>
      <c r="C460" s="34"/>
      <c r="D460" s="21"/>
      <c r="E460" s="35"/>
      <c r="F460" s="20"/>
      <c r="G460" s="36"/>
      <c r="H460" s="37"/>
      <c r="I460" s="38"/>
      <c r="J460" s="21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 x14ac:dyDescent="0.25">
      <c r="A461" s="20"/>
      <c r="B461" s="33"/>
      <c r="C461" s="34"/>
      <c r="D461" s="21"/>
      <c r="E461" s="35"/>
      <c r="F461" s="20"/>
      <c r="G461" s="36"/>
      <c r="H461" s="37"/>
      <c r="I461" s="38"/>
      <c r="J461" s="21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 x14ac:dyDescent="0.25">
      <c r="A462" s="20"/>
      <c r="B462" s="33"/>
      <c r="C462" s="34"/>
      <c r="D462" s="21"/>
      <c r="E462" s="35"/>
      <c r="F462" s="20"/>
      <c r="G462" s="36"/>
      <c r="H462" s="37"/>
      <c r="I462" s="38"/>
      <c r="J462" s="21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 x14ac:dyDescent="0.25">
      <c r="A463" s="20"/>
      <c r="B463" s="33"/>
      <c r="C463" s="34"/>
      <c r="D463" s="21"/>
      <c r="E463" s="35"/>
      <c r="F463" s="20"/>
      <c r="G463" s="36"/>
      <c r="H463" s="37"/>
      <c r="I463" s="38"/>
      <c r="J463" s="21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 x14ac:dyDescent="0.25">
      <c r="A464" s="20"/>
      <c r="B464" s="33"/>
      <c r="C464" s="34"/>
      <c r="D464" s="21"/>
      <c r="E464" s="35"/>
      <c r="F464" s="20"/>
      <c r="G464" s="36"/>
      <c r="H464" s="37"/>
      <c r="I464" s="38"/>
      <c r="J464" s="21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 x14ac:dyDescent="0.25">
      <c r="A465" s="20"/>
      <c r="B465" s="33"/>
      <c r="C465" s="34"/>
      <c r="D465" s="21"/>
      <c r="E465" s="35"/>
      <c r="F465" s="20"/>
      <c r="G465" s="36"/>
      <c r="H465" s="37"/>
      <c r="I465" s="38"/>
      <c r="J465" s="21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 x14ac:dyDescent="0.25">
      <c r="A466" s="20"/>
      <c r="B466" s="33"/>
      <c r="C466" s="34"/>
      <c r="D466" s="21"/>
      <c r="E466" s="35"/>
      <c r="F466" s="20"/>
      <c r="G466" s="36"/>
      <c r="H466" s="37"/>
      <c r="I466" s="38"/>
      <c r="J466" s="21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 x14ac:dyDescent="0.25">
      <c r="A467" s="20"/>
      <c r="B467" s="33"/>
      <c r="C467" s="34"/>
      <c r="D467" s="21"/>
      <c r="E467" s="35"/>
      <c r="F467" s="20"/>
      <c r="G467" s="36"/>
      <c r="H467" s="37"/>
      <c r="I467" s="38"/>
      <c r="J467" s="21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 x14ac:dyDescent="0.25">
      <c r="A468" s="20"/>
      <c r="B468" s="33"/>
      <c r="C468" s="34"/>
      <c r="D468" s="21"/>
      <c r="E468" s="35"/>
      <c r="F468" s="20"/>
      <c r="G468" s="36"/>
      <c r="H468" s="37"/>
      <c r="I468" s="38"/>
      <c r="J468" s="21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 x14ac:dyDescent="0.25">
      <c r="A469" s="20"/>
      <c r="B469" s="33"/>
      <c r="C469" s="34"/>
      <c r="D469" s="21"/>
      <c r="E469" s="35"/>
      <c r="F469" s="20"/>
      <c r="G469" s="36"/>
      <c r="H469" s="37"/>
      <c r="I469" s="38"/>
      <c r="J469" s="21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 x14ac:dyDescent="0.25">
      <c r="A470" s="20"/>
      <c r="B470" s="33"/>
      <c r="C470" s="34"/>
      <c r="D470" s="21"/>
      <c r="E470" s="35"/>
      <c r="F470" s="20"/>
      <c r="G470" s="36"/>
      <c r="H470" s="37"/>
      <c r="I470" s="38"/>
      <c r="J470" s="21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 x14ac:dyDescent="0.25">
      <c r="A471" s="20"/>
      <c r="B471" s="33"/>
      <c r="C471" s="34"/>
      <c r="D471" s="21"/>
      <c r="E471" s="35"/>
      <c r="F471" s="20"/>
      <c r="G471" s="36"/>
      <c r="H471" s="37"/>
      <c r="I471" s="38"/>
      <c r="J471" s="21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 x14ac:dyDescent="0.25">
      <c r="A472" s="20"/>
      <c r="B472" s="33"/>
      <c r="C472" s="34"/>
      <c r="D472" s="21"/>
      <c r="E472" s="35"/>
      <c r="F472" s="20"/>
      <c r="G472" s="36"/>
      <c r="H472" s="37"/>
      <c r="I472" s="38"/>
      <c r="J472" s="21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 x14ac:dyDescent="0.25">
      <c r="A473" s="20"/>
      <c r="B473" s="33"/>
      <c r="C473" s="34"/>
      <c r="D473" s="21"/>
      <c r="E473" s="35"/>
      <c r="F473" s="20"/>
      <c r="G473" s="36"/>
      <c r="H473" s="37"/>
      <c r="I473" s="38"/>
      <c r="J473" s="21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 x14ac:dyDescent="0.25">
      <c r="A474" s="20"/>
      <c r="B474" s="33"/>
      <c r="C474" s="34"/>
      <c r="D474" s="21"/>
      <c r="E474" s="35"/>
      <c r="F474" s="20"/>
      <c r="G474" s="36"/>
      <c r="H474" s="37"/>
      <c r="I474" s="38"/>
      <c r="J474" s="21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 x14ac:dyDescent="0.25">
      <c r="A475" s="20"/>
      <c r="B475" s="33"/>
      <c r="C475" s="34"/>
      <c r="D475" s="21"/>
      <c r="E475" s="35"/>
      <c r="F475" s="20"/>
      <c r="G475" s="36"/>
      <c r="H475" s="37"/>
      <c r="I475" s="38"/>
      <c r="J475" s="21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 x14ac:dyDescent="0.25">
      <c r="A476" s="20"/>
      <c r="B476" s="33"/>
      <c r="C476" s="34"/>
      <c r="D476" s="21"/>
      <c r="E476" s="35"/>
      <c r="F476" s="20"/>
      <c r="G476" s="36"/>
      <c r="H476" s="37"/>
      <c r="I476" s="38"/>
      <c r="J476" s="21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 x14ac:dyDescent="0.25">
      <c r="A477" s="20"/>
      <c r="B477" s="33"/>
      <c r="C477" s="34"/>
      <c r="D477" s="21"/>
      <c r="E477" s="35"/>
      <c r="F477" s="20"/>
      <c r="G477" s="36"/>
      <c r="H477" s="37"/>
      <c r="I477" s="38"/>
      <c r="J477" s="21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 x14ac:dyDescent="0.25">
      <c r="A478" s="20"/>
      <c r="B478" s="33"/>
      <c r="C478" s="34"/>
      <c r="D478" s="21"/>
      <c r="E478" s="35"/>
      <c r="F478" s="20"/>
      <c r="G478" s="36"/>
      <c r="H478" s="37"/>
      <c r="I478" s="38"/>
      <c r="J478" s="21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 x14ac:dyDescent="0.25">
      <c r="A479" s="20"/>
      <c r="B479" s="33"/>
      <c r="C479" s="34"/>
      <c r="D479" s="21"/>
      <c r="E479" s="35"/>
      <c r="F479" s="20"/>
      <c r="G479" s="36"/>
      <c r="H479" s="37"/>
      <c r="I479" s="38"/>
      <c r="J479" s="21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 x14ac:dyDescent="0.25">
      <c r="A480" s="20"/>
      <c r="B480" s="33"/>
      <c r="C480" s="34"/>
      <c r="D480" s="21"/>
      <c r="E480" s="35"/>
      <c r="F480" s="20"/>
      <c r="G480" s="36"/>
      <c r="H480" s="37"/>
      <c r="I480" s="38"/>
      <c r="J480" s="21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 x14ac:dyDescent="0.25">
      <c r="A481" s="20"/>
      <c r="B481" s="33"/>
      <c r="C481" s="34"/>
      <c r="D481" s="21"/>
      <c r="E481" s="35"/>
      <c r="F481" s="20"/>
      <c r="G481" s="36"/>
      <c r="H481" s="37"/>
      <c r="I481" s="38"/>
      <c r="J481" s="21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 x14ac:dyDescent="0.25">
      <c r="A482" s="20"/>
      <c r="B482" s="33"/>
      <c r="C482" s="34"/>
      <c r="D482" s="21"/>
      <c r="E482" s="35"/>
      <c r="F482" s="20"/>
      <c r="G482" s="36"/>
      <c r="H482" s="37"/>
      <c r="I482" s="38"/>
      <c r="J482" s="21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 x14ac:dyDescent="0.25">
      <c r="A483" s="20"/>
      <c r="B483" s="33"/>
      <c r="C483" s="34"/>
      <c r="D483" s="21"/>
      <c r="E483" s="35"/>
      <c r="F483" s="20"/>
      <c r="G483" s="36"/>
      <c r="H483" s="37"/>
      <c r="I483" s="38"/>
      <c r="J483" s="21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 x14ac:dyDescent="0.25">
      <c r="A484" s="20"/>
      <c r="B484" s="33"/>
      <c r="C484" s="34"/>
      <c r="D484" s="21"/>
      <c r="E484" s="35"/>
      <c r="F484" s="20"/>
      <c r="G484" s="36"/>
      <c r="H484" s="37"/>
      <c r="I484" s="38"/>
      <c r="J484" s="21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 x14ac:dyDescent="0.25">
      <c r="A485" s="20"/>
      <c r="B485" s="33"/>
      <c r="C485" s="34"/>
      <c r="D485" s="21"/>
      <c r="E485" s="35"/>
      <c r="F485" s="20"/>
      <c r="G485" s="36"/>
      <c r="H485" s="37"/>
      <c r="I485" s="38"/>
      <c r="J485" s="21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 x14ac:dyDescent="0.25">
      <c r="A486" s="20"/>
      <c r="B486" s="33"/>
      <c r="C486" s="34"/>
      <c r="D486" s="21"/>
      <c r="E486" s="35"/>
      <c r="F486" s="20"/>
      <c r="G486" s="36"/>
      <c r="H486" s="37"/>
      <c r="I486" s="38"/>
      <c r="J486" s="21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 x14ac:dyDescent="0.25">
      <c r="A487" s="20"/>
      <c r="B487" s="33"/>
      <c r="C487" s="34"/>
      <c r="D487" s="21"/>
      <c r="E487" s="35"/>
      <c r="F487" s="20"/>
      <c r="G487" s="36"/>
      <c r="H487" s="37"/>
      <c r="I487" s="38"/>
      <c r="J487" s="21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 x14ac:dyDescent="0.25">
      <c r="A488" s="20"/>
      <c r="B488" s="33"/>
      <c r="C488" s="34"/>
      <c r="D488" s="21"/>
      <c r="E488" s="35"/>
      <c r="F488" s="20"/>
      <c r="G488" s="36"/>
      <c r="H488" s="37"/>
      <c r="I488" s="38"/>
      <c r="J488" s="21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 x14ac:dyDescent="0.25">
      <c r="A489" s="20"/>
      <c r="B489" s="33"/>
      <c r="C489" s="34"/>
      <c r="D489" s="21"/>
      <c r="E489" s="35"/>
      <c r="F489" s="20"/>
      <c r="G489" s="36"/>
      <c r="H489" s="37"/>
      <c r="I489" s="38"/>
      <c r="J489" s="21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 x14ac:dyDescent="0.25">
      <c r="A490" s="20"/>
      <c r="B490" s="33"/>
      <c r="C490" s="34"/>
      <c r="D490" s="21"/>
      <c r="E490" s="35"/>
      <c r="F490" s="20"/>
      <c r="G490" s="36"/>
      <c r="H490" s="37"/>
      <c r="I490" s="38"/>
      <c r="J490" s="21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 x14ac:dyDescent="0.25">
      <c r="A491" s="20"/>
      <c r="B491" s="33"/>
      <c r="C491" s="34"/>
      <c r="D491" s="21"/>
      <c r="E491" s="35"/>
      <c r="F491" s="20"/>
      <c r="G491" s="36"/>
      <c r="H491" s="37"/>
      <c r="I491" s="38"/>
      <c r="J491" s="21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 x14ac:dyDescent="0.25">
      <c r="A492" s="20"/>
      <c r="B492" s="33"/>
      <c r="C492" s="34"/>
      <c r="D492" s="21"/>
      <c r="E492" s="35"/>
      <c r="F492" s="20"/>
      <c r="G492" s="36"/>
      <c r="H492" s="37"/>
      <c r="I492" s="38"/>
      <c r="J492" s="21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 x14ac:dyDescent="0.25">
      <c r="A493" s="20"/>
      <c r="B493" s="33"/>
      <c r="C493" s="34"/>
      <c r="D493" s="21"/>
      <c r="E493" s="35"/>
      <c r="F493" s="20"/>
      <c r="G493" s="36"/>
      <c r="H493" s="37"/>
      <c r="I493" s="38"/>
      <c r="J493" s="21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 x14ac:dyDescent="0.25">
      <c r="A494" s="20"/>
      <c r="B494" s="33"/>
      <c r="C494" s="34"/>
      <c r="D494" s="21"/>
      <c r="E494" s="35"/>
      <c r="F494" s="20"/>
      <c r="G494" s="36"/>
      <c r="H494" s="37"/>
      <c r="I494" s="38"/>
      <c r="J494" s="21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 x14ac:dyDescent="0.25">
      <c r="A495" s="20"/>
      <c r="B495" s="33"/>
      <c r="C495" s="34"/>
      <c r="D495" s="21"/>
      <c r="E495" s="35"/>
      <c r="F495" s="20"/>
      <c r="G495" s="36"/>
      <c r="H495" s="37"/>
      <c r="I495" s="38"/>
      <c r="J495" s="21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 x14ac:dyDescent="0.25">
      <c r="A496" s="20"/>
      <c r="B496" s="33"/>
      <c r="C496" s="34"/>
      <c r="D496" s="21"/>
      <c r="E496" s="35"/>
      <c r="F496" s="20"/>
      <c r="G496" s="36"/>
      <c r="H496" s="37"/>
      <c r="I496" s="38"/>
      <c r="J496" s="21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 x14ac:dyDescent="0.25">
      <c r="A497" s="20"/>
      <c r="B497" s="33"/>
      <c r="C497" s="34"/>
      <c r="D497" s="21"/>
      <c r="E497" s="35"/>
      <c r="F497" s="20"/>
      <c r="G497" s="36"/>
      <c r="H497" s="37"/>
      <c r="I497" s="38"/>
      <c r="J497" s="21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 x14ac:dyDescent="0.25">
      <c r="A498" s="20"/>
      <c r="B498" s="33"/>
      <c r="C498" s="34"/>
      <c r="D498" s="21"/>
      <c r="E498" s="35"/>
      <c r="F498" s="20"/>
      <c r="G498" s="36"/>
      <c r="H498" s="37"/>
      <c r="I498" s="38"/>
      <c r="J498" s="21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 x14ac:dyDescent="0.25">
      <c r="A499" s="20"/>
      <c r="B499" s="33"/>
      <c r="C499" s="34"/>
      <c r="D499" s="21"/>
      <c r="E499" s="35"/>
      <c r="F499" s="20"/>
      <c r="G499" s="36"/>
      <c r="H499" s="37"/>
      <c r="I499" s="38"/>
      <c r="J499" s="21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 x14ac:dyDescent="0.25">
      <c r="A500" s="20"/>
      <c r="B500" s="33"/>
      <c r="C500" s="34"/>
      <c r="D500" s="21"/>
      <c r="E500" s="35"/>
      <c r="F500" s="20"/>
      <c r="G500" s="36"/>
      <c r="H500" s="37"/>
      <c r="I500" s="38"/>
      <c r="J500" s="21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 x14ac:dyDescent="0.25">
      <c r="A501" s="20"/>
      <c r="B501" s="33"/>
      <c r="C501" s="34"/>
      <c r="D501" s="21"/>
      <c r="E501" s="35"/>
      <c r="F501" s="20"/>
      <c r="G501" s="36"/>
      <c r="H501" s="37"/>
      <c r="I501" s="38"/>
      <c r="J501" s="21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 x14ac:dyDescent="0.25">
      <c r="A502" s="20"/>
      <c r="B502" s="33"/>
      <c r="C502" s="34"/>
      <c r="D502" s="21"/>
      <c r="E502" s="35"/>
      <c r="F502" s="20"/>
      <c r="G502" s="36"/>
      <c r="H502" s="37"/>
      <c r="I502" s="38"/>
      <c r="J502" s="21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 x14ac:dyDescent="0.25">
      <c r="A503" s="20"/>
      <c r="B503" s="33"/>
      <c r="C503" s="34"/>
      <c r="D503" s="21"/>
      <c r="E503" s="35"/>
      <c r="F503" s="20"/>
      <c r="G503" s="36"/>
      <c r="H503" s="37"/>
      <c r="I503" s="38"/>
      <c r="J503" s="21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 x14ac:dyDescent="0.25">
      <c r="A504" s="20"/>
      <c r="B504" s="33"/>
      <c r="C504" s="34"/>
      <c r="D504" s="21"/>
      <c r="E504" s="35"/>
      <c r="F504" s="20"/>
      <c r="G504" s="36"/>
      <c r="H504" s="37"/>
      <c r="I504" s="38"/>
      <c r="J504" s="21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 x14ac:dyDescent="0.25">
      <c r="A505" s="20"/>
      <c r="B505" s="33"/>
      <c r="C505" s="34"/>
      <c r="D505" s="21"/>
      <c r="E505" s="35"/>
      <c r="F505" s="20"/>
      <c r="G505" s="36"/>
      <c r="H505" s="37"/>
      <c r="I505" s="38"/>
      <c r="J505" s="21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 x14ac:dyDescent="0.25">
      <c r="A506" s="20"/>
      <c r="B506" s="33"/>
      <c r="C506" s="34"/>
      <c r="D506" s="21"/>
      <c r="E506" s="35"/>
      <c r="F506" s="20"/>
      <c r="G506" s="36"/>
      <c r="H506" s="37"/>
      <c r="I506" s="38"/>
      <c r="J506" s="21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 x14ac:dyDescent="0.25">
      <c r="A507" s="20"/>
      <c r="B507" s="33"/>
      <c r="C507" s="34"/>
      <c r="D507" s="21"/>
      <c r="E507" s="35"/>
      <c r="F507" s="20"/>
      <c r="G507" s="36"/>
      <c r="H507" s="37"/>
      <c r="I507" s="38"/>
      <c r="J507" s="21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 x14ac:dyDescent="0.25">
      <c r="A508" s="20"/>
      <c r="B508" s="33"/>
      <c r="C508" s="34"/>
      <c r="D508" s="21"/>
      <c r="E508" s="35"/>
      <c r="F508" s="20"/>
      <c r="G508" s="36"/>
      <c r="H508" s="37"/>
      <c r="I508" s="38"/>
      <c r="J508" s="21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 x14ac:dyDescent="0.25">
      <c r="A509" s="20"/>
      <c r="B509" s="33"/>
      <c r="C509" s="34"/>
      <c r="D509" s="21"/>
      <c r="E509" s="35"/>
      <c r="F509" s="20"/>
      <c r="G509" s="36"/>
      <c r="H509" s="37"/>
      <c r="I509" s="38"/>
      <c r="J509" s="21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 x14ac:dyDescent="0.25">
      <c r="A510" s="20"/>
      <c r="B510" s="33"/>
      <c r="C510" s="34"/>
      <c r="D510" s="21"/>
      <c r="E510" s="35"/>
      <c r="F510" s="20"/>
      <c r="G510" s="36"/>
      <c r="H510" s="37"/>
      <c r="I510" s="38"/>
      <c r="J510" s="21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 x14ac:dyDescent="0.25">
      <c r="A511" s="20"/>
      <c r="B511" s="33"/>
      <c r="C511" s="34"/>
      <c r="D511" s="21"/>
      <c r="E511" s="35"/>
      <c r="F511" s="20"/>
      <c r="G511" s="36"/>
      <c r="H511" s="37"/>
      <c r="I511" s="38"/>
      <c r="J511" s="21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 x14ac:dyDescent="0.25">
      <c r="A512" s="20"/>
      <c r="B512" s="33"/>
      <c r="C512" s="34"/>
      <c r="D512" s="21"/>
      <c r="E512" s="35"/>
      <c r="F512" s="20"/>
      <c r="G512" s="36"/>
      <c r="H512" s="37"/>
      <c r="I512" s="38"/>
      <c r="J512" s="21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 x14ac:dyDescent="0.25">
      <c r="A513" s="20"/>
      <c r="B513" s="33"/>
      <c r="C513" s="34"/>
      <c r="D513" s="21"/>
      <c r="E513" s="35"/>
      <c r="F513" s="20"/>
      <c r="G513" s="36"/>
      <c r="H513" s="37"/>
      <c r="I513" s="38"/>
      <c r="J513" s="21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 x14ac:dyDescent="0.25">
      <c r="A514" s="20"/>
      <c r="B514" s="33"/>
      <c r="C514" s="34"/>
      <c r="D514" s="21"/>
      <c r="E514" s="35"/>
      <c r="F514" s="20"/>
      <c r="G514" s="36"/>
      <c r="H514" s="37"/>
      <c r="I514" s="38"/>
      <c r="J514" s="21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 x14ac:dyDescent="0.25">
      <c r="A515" s="20"/>
      <c r="B515" s="33"/>
      <c r="C515" s="34"/>
      <c r="D515" s="21"/>
      <c r="E515" s="35"/>
      <c r="F515" s="20"/>
      <c r="G515" s="36"/>
      <c r="H515" s="37"/>
      <c r="I515" s="38"/>
      <c r="J515" s="21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 x14ac:dyDescent="0.25">
      <c r="A516" s="20"/>
      <c r="B516" s="33"/>
      <c r="C516" s="34"/>
      <c r="D516" s="21"/>
      <c r="E516" s="35"/>
      <c r="F516" s="20"/>
      <c r="G516" s="36"/>
      <c r="H516" s="37"/>
      <c r="I516" s="38"/>
      <c r="J516" s="21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 x14ac:dyDescent="0.25">
      <c r="A517" s="20"/>
      <c r="B517" s="33"/>
      <c r="C517" s="34"/>
      <c r="D517" s="21"/>
      <c r="E517" s="35"/>
      <c r="F517" s="20"/>
      <c r="G517" s="36"/>
      <c r="H517" s="37"/>
      <c r="I517" s="38"/>
      <c r="J517" s="21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 x14ac:dyDescent="0.25">
      <c r="A518" s="20"/>
      <c r="B518" s="33"/>
      <c r="C518" s="34"/>
      <c r="D518" s="21"/>
      <c r="E518" s="35"/>
      <c r="F518" s="20"/>
      <c r="G518" s="36"/>
      <c r="H518" s="37"/>
      <c r="I518" s="38"/>
      <c r="J518" s="21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 x14ac:dyDescent="0.25">
      <c r="A519" s="20"/>
      <c r="B519" s="33"/>
      <c r="C519" s="34"/>
      <c r="D519" s="21"/>
      <c r="E519" s="35"/>
      <c r="F519" s="20"/>
      <c r="G519" s="36"/>
      <c r="H519" s="37"/>
      <c r="I519" s="38"/>
      <c r="J519" s="21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 x14ac:dyDescent="0.25">
      <c r="A520" s="20"/>
      <c r="B520" s="33"/>
      <c r="C520" s="34"/>
      <c r="D520" s="21"/>
      <c r="E520" s="35"/>
      <c r="F520" s="20"/>
      <c r="G520" s="36"/>
      <c r="H520" s="37"/>
      <c r="I520" s="38"/>
      <c r="J520" s="21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 x14ac:dyDescent="0.25">
      <c r="A521" s="20"/>
      <c r="B521" s="33"/>
      <c r="C521" s="34"/>
      <c r="D521" s="21"/>
      <c r="E521" s="35"/>
      <c r="F521" s="20"/>
      <c r="G521" s="36"/>
      <c r="H521" s="37"/>
      <c r="I521" s="38"/>
      <c r="J521" s="21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 x14ac:dyDescent="0.25">
      <c r="A522" s="20"/>
      <c r="B522" s="33"/>
      <c r="C522" s="34"/>
      <c r="D522" s="21"/>
      <c r="E522" s="35"/>
      <c r="F522" s="20"/>
      <c r="G522" s="36"/>
      <c r="H522" s="37"/>
      <c r="I522" s="38"/>
      <c r="J522" s="21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 x14ac:dyDescent="0.25">
      <c r="A523" s="20"/>
      <c r="B523" s="33"/>
      <c r="C523" s="34"/>
      <c r="D523" s="21"/>
      <c r="E523" s="35"/>
      <c r="F523" s="20"/>
      <c r="G523" s="36"/>
      <c r="H523" s="37"/>
      <c r="I523" s="38"/>
      <c r="J523" s="21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 x14ac:dyDescent="0.25">
      <c r="A524" s="20"/>
      <c r="B524" s="33"/>
      <c r="C524" s="34"/>
      <c r="D524" s="21"/>
      <c r="E524" s="35"/>
      <c r="F524" s="20"/>
      <c r="G524" s="36"/>
      <c r="H524" s="37"/>
      <c r="I524" s="38"/>
      <c r="J524" s="21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 x14ac:dyDescent="0.25">
      <c r="A525" s="20"/>
      <c r="B525" s="33"/>
      <c r="C525" s="34"/>
      <c r="D525" s="21"/>
      <c r="E525" s="35"/>
      <c r="F525" s="20"/>
      <c r="G525" s="36"/>
      <c r="H525" s="37"/>
      <c r="I525" s="38"/>
      <c r="J525" s="21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 x14ac:dyDescent="0.25">
      <c r="A526" s="20"/>
      <c r="B526" s="33"/>
      <c r="C526" s="34"/>
      <c r="D526" s="21"/>
      <c r="E526" s="35"/>
      <c r="F526" s="20"/>
      <c r="G526" s="36"/>
      <c r="H526" s="37"/>
      <c r="I526" s="38"/>
      <c r="J526" s="21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 x14ac:dyDescent="0.25">
      <c r="A527" s="20"/>
      <c r="B527" s="33"/>
      <c r="C527" s="34"/>
      <c r="D527" s="21"/>
      <c r="E527" s="35"/>
      <c r="F527" s="20"/>
      <c r="G527" s="36"/>
      <c r="H527" s="37"/>
      <c r="I527" s="38"/>
      <c r="J527" s="21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 x14ac:dyDescent="0.25">
      <c r="A528" s="20"/>
      <c r="B528" s="33"/>
      <c r="C528" s="34"/>
      <c r="D528" s="21"/>
      <c r="E528" s="35"/>
      <c r="F528" s="20"/>
      <c r="G528" s="36"/>
      <c r="H528" s="37"/>
      <c r="I528" s="38"/>
      <c r="J528" s="21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 x14ac:dyDescent="0.25">
      <c r="A529" s="20"/>
      <c r="B529" s="33"/>
      <c r="C529" s="34"/>
      <c r="D529" s="21"/>
      <c r="E529" s="35"/>
      <c r="F529" s="20"/>
      <c r="G529" s="36"/>
      <c r="H529" s="37"/>
      <c r="I529" s="38"/>
      <c r="J529" s="21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 x14ac:dyDescent="0.25">
      <c r="A530" s="20"/>
      <c r="B530" s="33"/>
      <c r="C530" s="34"/>
      <c r="D530" s="21"/>
      <c r="E530" s="35"/>
      <c r="F530" s="20"/>
      <c r="G530" s="36"/>
      <c r="H530" s="37"/>
      <c r="I530" s="38"/>
      <c r="J530" s="21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 x14ac:dyDescent="0.25">
      <c r="A531" s="20"/>
      <c r="B531" s="33"/>
      <c r="C531" s="34"/>
      <c r="D531" s="21"/>
      <c r="E531" s="35"/>
      <c r="F531" s="20"/>
      <c r="G531" s="36"/>
      <c r="H531" s="37"/>
      <c r="I531" s="38"/>
      <c r="J531" s="21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 x14ac:dyDescent="0.25">
      <c r="A532" s="20"/>
      <c r="B532" s="33"/>
      <c r="C532" s="34"/>
      <c r="D532" s="21"/>
      <c r="E532" s="35"/>
      <c r="F532" s="20"/>
      <c r="G532" s="36"/>
      <c r="H532" s="37"/>
      <c r="I532" s="38"/>
      <c r="J532" s="21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 x14ac:dyDescent="0.25">
      <c r="A533" s="20"/>
      <c r="B533" s="33"/>
      <c r="C533" s="34"/>
      <c r="D533" s="21"/>
      <c r="E533" s="35"/>
      <c r="F533" s="20"/>
      <c r="G533" s="36"/>
      <c r="H533" s="37"/>
      <c r="I533" s="38"/>
      <c r="J533" s="21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 x14ac:dyDescent="0.25">
      <c r="A534" s="20"/>
      <c r="B534" s="33"/>
      <c r="C534" s="34"/>
      <c r="D534" s="21"/>
      <c r="E534" s="35"/>
      <c r="F534" s="20"/>
      <c r="G534" s="36"/>
      <c r="H534" s="37"/>
      <c r="I534" s="38"/>
      <c r="J534" s="21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 x14ac:dyDescent="0.25">
      <c r="A535" s="20"/>
      <c r="B535" s="33"/>
      <c r="C535" s="34"/>
      <c r="D535" s="21"/>
      <c r="E535" s="35"/>
      <c r="F535" s="20"/>
      <c r="G535" s="36"/>
      <c r="H535" s="37"/>
      <c r="I535" s="38"/>
      <c r="J535" s="21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 x14ac:dyDescent="0.25">
      <c r="A536" s="20"/>
      <c r="B536" s="33"/>
      <c r="C536" s="34"/>
      <c r="D536" s="21"/>
      <c r="E536" s="35"/>
      <c r="F536" s="20"/>
      <c r="G536" s="36"/>
      <c r="H536" s="37"/>
      <c r="I536" s="38"/>
      <c r="J536" s="21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 x14ac:dyDescent="0.25">
      <c r="A537" s="20"/>
      <c r="B537" s="33"/>
      <c r="C537" s="34"/>
      <c r="D537" s="21"/>
      <c r="E537" s="35"/>
      <c r="F537" s="20"/>
      <c r="G537" s="36"/>
      <c r="H537" s="37"/>
      <c r="I537" s="38"/>
      <c r="J537" s="21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 x14ac:dyDescent="0.25">
      <c r="A538" s="20"/>
      <c r="B538" s="33"/>
      <c r="C538" s="34"/>
      <c r="D538" s="21"/>
      <c r="E538" s="35"/>
      <c r="F538" s="20"/>
      <c r="G538" s="36"/>
      <c r="H538" s="37"/>
      <c r="I538" s="38"/>
      <c r="J538" s="21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 x14ac:dyDescent="0.25">
      <c r="A539" s="20"/>
      <c r="B539" s="33"/>
      <c r="C539" s="34"/>
      <c r="D539" s="21"/>
      <c r="E539" s="35"/>
      <c r="F539" s="20"/>
      <c r="G539" s="36"/>
      <c r="H539" s="37"/>
      <c r="I539" s="38"/>
      <c r="J539" s="21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 x14ac:dyDescent="0.25">
      <c r="A540" s="20"/>
      <c r="B540" s="33"/>
      <c r="C540" s="34"/>
      <c r="D540" s="21"/>
      <c r="E540" s="35"/>
      <c r="F540" s="20"/>
      <c r="G540" s="36"/>
      <c r="H540" s="37"/>
      <c r="I540" s="38"/>
      <c r="J540" s="21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 x14ac:dyDescent="0.25">
      <c r="A541" s="20"/>
      <c r="B541" s="33"/>
      <c r="C541" s="34"/>
      <c r="D541" s="21"/>
      <c r="E541" s="35"/>
      <c r="F541" s="20"/>
      <c r="G541" s="36"/>
      <c r="H541" s="37"/>
      <c r="I541" s="38"/>
      <c r="J541" s="21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 x14ac:dyDescent="0.25">
      <c r="A542" s="20"/>
      <c r="B542" s="33"/>
      <c r="C542" s="34"/>
      <c r="D542" s="21"/>
      <c r="E542" s="35"/>
      <c r="F542" s="20"/>
      <c r="G542" s="36"/>
      <c r="H542" s="37"/>
      <c r="I542" s="38"/>
      <c r="J542" s="21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 x14ac:dyDescent="0.25">
      <c r="A543" s="20"/>
      <c r="B543" s="33"/>
      <c r="C543" s="34"/>
      <c r="D543" s="21"/>
      <c r="E543" s="35"/>
      <c r="F543" s="20"/>
      <c r="G543" s="36"/>
      <c r="H543" s="37"/>
      <c r="I543" s="38"/>
      <c r="J543" s="21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 x14ac:dyDescent="0.25">
      <c r="A544" s="20"/>
      <c r="B544" s="33"/>
      <c r="C544" s="34"/>
      <c r="D544" s="21"/>
      <c r="E544" s="35"/>
      <c r="F544" s="20"/>
      <c r="G544" s="36"/>
      <c r="H544" s="37"/>
      <c r="I544" s="38"/>
      <c r="J544" s="21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 x14ac:dyDescent="0.25">
      <c r="A545" s="20"/>
      <c r="B545" s="33"/>
      <c r="C545" s="34"/>
      <c r="D545" s="21"/>
      <c r="E545" s="35"/>
      <c r="F545" s="20"/>
      <c r="G545" s="36"/>
      <c r="H545" s="37"/>
      <c r="I545" s="38"/>
      <c r="J545" s="21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 x14ac:dyDescent="0.25">
      <c r="A546" s="20"/>
      <c r="B546" s="33"/>
      <c r="C546" s="34"/>
      <c r="D546" s="21"/>
      <c r="E546" s="35"/>
      <c r="F546" s="20"/>
      <c r="G546" s="36"/>
      <c r="H546" s="37"/>
      <c r="I546" s="38"/>
      <c r="J546" s="21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 x14ac:dyDescent="0.25">
      <c r="A547" s="20"/>
      <c r="B547" s="33"/>
      <c r="C547" s="34"/>
      <c r="D547" s="21"/>
      <c r="E547" s="35"/>
      <c r="F547" s="20"/>
      <c r="G547" s="36"/>
      <c r="H547" s="37"/>
      <c r="I547" s="38"/>
      <c r="J547" s="21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 x14ac:dyDescent="0.25">
      <c r="A548" s="20"/>
      <c r="B548" s="33"/>
      <c r="C548" s="34"/>
      <c r="D548" s="21"/>
      <c r="E548" s="35"/>
      <c r="F548" s="20"/>
      <c r="G548" s="36"/>
      <c r="H548" s="37"/>
      <c r="I548" s="38"/>
      <c r="J548" s="21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 x14ac:dyDescent="0.25">
      <c r="A549" s="20"/>
      <c r="B549" s="33"/>
      <c r="C549" s="34"/>
      <c r="D549" s="21"/>
      <c r="E549" s="35"/>
      <c r="F549" s="20"/>
      <c r="G549" s="36"/>
      <c r="H549" s="37"/>
      <c r="I549" s="38"/>
      <c r="J549" s="21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 x14ac:dyDescent="0.25">
      <c r="A550" s="20"/>
      <c r="B550" s="33"/>
      <c r="C550" s="34"/>
      <c r="D550" s="21"/>
      <c r="E550" s="35"/>
      <c r="F550" s="20"/>
      <c r="G550" s="36"/>
      <c r="H550" s="37"/>
      <c r="I550" s="38"/>
      <c r="J550" s="21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 x14ac:dyDescent="0.25">
      <c r="A551" s="20"/>
      <c r="B551" s="33"/>
      <c r="C551" s="34"/>
      <c r="D551" s="21"/>
      <c r="E551" s="35"/>
      <c r="F551" s="20"/>
      <c r="G551" s="36"/>
      <c r="H551" s="37"/>
      <c r="I551" s="38"/>
      <c r="J551" s="21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 x14ac:dyDescent="0.25">
      <c r="A552" s="20"/>
      <c r="B552" s="33"/>
      <c r="C552" s="34"/>
      <c r="D552" s="21"/>
      <c r="E552" s="35"/>
      <c r="F552" s="20"/>
      <c r="G552" s="36"/>
      <c r="H552" s="37"/>
      <c r="I552" s="38"/>
      <c r="J552" s="21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 x14ac:dyDescent="0.25">
      <c r="A553" s="20"/>
      <c r="B553" s="33"/>
      <c r="C553" s="34"/>
      <c r="D553" s="21"/>
      <c r="E553" s="35"/>
      <c r="F553" s="20"/>
      <c r="G553" s="36"/>
      <c r="H553" s="37"/>
      <c r="I553" s="38"/>
      <c r="J553" s="21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 x14ac:dyDescent="0.25">
      <c r="A554" s="20"/>
      <c r="B554" s="33"/>
      <c r="C554" s="34"/>
      <c r="D554" s="21"/>
      <c r="E554" s="35"/>
      <c r="F554" s="20"/>
      <c r="G554" s="36"/>
      <c r="H554" s="37"/>
      <c r="I554" s="38"/>
      <c r="J554" s="21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 x14ac:dyDescent="0.25">
      <c r="A555" s="20"/>
      <c r="B555" s="33"/>
      <c r="C555" s="34"/>
      <c r="D555" s="21"/>
      <c r="E555" s="35"/>
      <c r="F555" s="20"/>
      <c r="G555" s="36"/>
      <c r="H555" s="37"/>
      <c r="I555" s="38"/>
      <c r="J555" s="21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 x14ac:dyDescent="0.25">
      <c r="A556" s="20"/>
      <c r="B556" s="33"/>
      <c r="C556" s="34"/>
      <c r="D556" s="21"/>
      <c r="E556" s="35"/>
      <c r="F556" s="20"/>
      <c r="G556" s="36"/>
      <c r="H556" s="37"/>
      <c r="I556" s="38"/>
      <c r="J556" s="21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 x14ac:dyDescent="0.25">
      <c r="A557" s="20"/>
      <c r="B557" s="33"/>
      <c r="C557" s="34"/>
      <c r="D557" s="21"/>
      <c r="E557" s="35"/>
      <c r="F557" s="20"/>
      <c r="G557" s="36"/>
      <c r="H557" s="37"/>
      <c r="I557" s="38"/>
      <c r="J557" s="21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 x14ac:dyDescent="0.25">
      <c r="A558" s="20"/>
      <c r="B558" s="33"/>
      <c r="C558" s="34"/>
      <c r="D558" s="21"/>
      <c r="E558" s="35"/>
      <c r="F558" s="20"/>
      <c r="G558" s="36"/>
      <c r="H558" s="37"/>
      <c r="I558" s="38"/>
      <c r="J558" s="21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 x14ac:dyDescent="0.25">
      <c r="A559" s="20"/>
      <c r="B559" s="33"/>
      <c r="C559" s="34"/>
      <c r="D559" s="21"/>
      <c r="E559" s="35"/>
      <c r="F559" s="20"/>
      <c r="G559" s="36"/>
      <c r="H559" s="37"/>
      <c r="I559" s="38"/>
      <c r="J559" s="21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 x14ac:dyDescent="0.25">
      <c r="A560" s="20"/>
      <c r="B560" s="33"/>
      <c r="C560" s="34"/>
      <c r="D560" s="21"/>
      <c r="E560" s="35"/>
      <c r="F560" s="20"/>
      <c r="G560" s="36"/>
      <c r="H560" s="37"/>
      <c r="I560" s="38"/>
      <c r="J560" s="21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 x14ac:dyDescent="0.25">
      <c r="A561" s="20"/>
      <c r="B561" s="33"/>
      <c r="C561" s="34"/>
      <c r="D561" s="21"/>
      <c r="E561" s="35"/>
      <c r="F561" s="20"/>
      <c r="G561" s="36"/>
      <c r="H561" s="37"/>
      <c r="I561" s="38"/>
      <c r="J561" s="21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 x14ac:dyDescent="0.25">
      <c r="A562" s="20"/>
      <c r="B562" s="33"/>
      <c r="C562" s="34"/>
      <c r="D562" s="21"/>
      <c r="E562" s="35"/>
      <c r="F562" s="20"/>
      <c r="G562" s="36"/>
      <c r="H562" s="37"/>
      <c r="I562" s="38"/>
      <c r="J562" s="21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 x14ac:dyDescent="0.25">
      <c r="A563" s="20"/>
      <c r="B563" s="33"/>
      <c r="C563" s="34"/>
      <c r="D563" s="21"/>
      <c r="E563" s="35"/>
      <c r="F563" s="20"/>
      <c r="G563" s="36"/>
      <c r="H563" s="37"/>
      <c r="I563" s="38"/>
      <c r="J563" s="21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 x14ac:dyDescent="0.25">
      <c r="A564" s="20"/>
      <c r="B564" s="33"/>
      <c r="C564" s="34"/>
      <c r="D564" s="21"/>
      <c r="E564" s="35"/>
      <c r="F564" s="20"/>
      <c r="G564" s="36"/>
      <c r="H564" s="37"/>
      <c r="I564" s="38"/>
      <c r="J564" s="21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 x14ac:dyDescent="0.25">
      <c r="A565" s="20"/>
      <c r="B565" s="33"/>
      <c r="C565" s="34"/>
      <c r="D565" s="21"/>
      <c r="E565" s="35"/>
      <c r="F565" s="20"/>
      <c r="G565" s="36"/>
      <c r="H565" s="37"/>
      <c r="I565" s="38"/>
      <c r="J565" s="21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 x14ac:dyDescent="0.25">
      <c r="A566" s="20"/>
      <c r="B566" s="33"/>
      <c r="C566" s="34"/>
      <c r="D566" s="21"/>
      <c r="E566" s="35"/>
      <c r="F566" s="20"/>
      <c r="G566" s="36"/>
      <c r="H566" s="37"/>
      <c r="I566" s="38"/>
      <c r="J566" s="21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 x14ac:dyDescent="0.25">
      <c r="A567" s="20"/>
      <c r="B567" s="33"/>
      <c r="C567" s="34"/>
      <c r="D567" s="21"/>
      <c r="E567" s="35"/>
      <c r="F567" s="20"/>
      <c r="G567" s="36"/>
      <c r="H567" s="37"/>
      <c r="I567" s="38"/>
      <c r="J567" s="21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 x14ac:dyDescent="0.25">
      <c r="A568" s="20"/>
      <c r="B568" s="33"/>
      <c r="C568" s="34"/>
      <c r="D568" s="21"/>
      <c r="E568" s="35"/>
      <c r="F568" s="20"/>
      <c r="G568" s="36"/>
      <c r="H568" s="37"/>
      <c r="I568" s="38"/>
      <c r="J568" s="21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 x14ac:dyDescent="0.25">
      <c r="A569" s="20"/>
      <c r="B569" s="33"/>
      <c r="C569" s="34"/>
      <c r="D569" s="21"/>
      <c r="E569" s="35"/>
      <c r="F569" s="20"/>
      <c r="G569" s="36"/>
      <c r="H569" s="37"/>
      <c r="I569" s="38"/>
      <c r="J569" s="21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 x14ac:dyDescent="0.25">
      <c r="A570" s="20"/>
      <c r="B570" s="33"/>
      <c r="C570" s="34"/>
      <c r="D570" s="21"/>
      <c r="E570" s="35"/>
      <c r="F570" s="20"/>
      <c r="G570" s="36"/>
      <c r="H570" s="37"/>
      <c r="I570" s="38"/>
      <c r="J570" s="21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 x14ac:dyDescent="0.25">
      <c r="A571" s="20"/>
      <c r="B571" s="33"/>
      <c r="C571" s="34"/>
      <c r="D571" s="21"/>
      <c r="E571" s="35"/>
      <c r="F571" s="20"/>
      <c r="G571" s="36"/>
      <c r="H571" s="37"/>
      <c r="I571" s="38"/>
      <c r="J571" s="21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 x14ac:dyDescent="0.25">
      <c r="A572" s="20"/>
      <c r="B572" s="33"/>
      <c r="C572" s="34"/>
      <c r="D572" s="21"/>
      <c r="E572" s="35"/>
      <c r="F572" s="20"/>
      <c r="G572" s="36"/>
      <c r="H572" s="37"/>
      <c r="I572" s="38"/>
      <c r="J572" s="21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 x14ac:dyDescent="0.25">
      <c r="A573" s="20"/>
      <c r="B573" s="33"/>
      <c r="C573" s="34"/>
      <c r="D573" s="21"/>
      <c r="E573" s="35"/>
      <c r="F573" s="20"/>
      <c r="G573" s="36"/>
      <c r="H573" s="37"/>
      <c r="I573" s="38"/>
      <c r="J573" s="21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 x14ac:dyDescent="0.25">
      <c r="A574" s="20"/>
      <c r="B574" s="33"/>
      <c r="C574" s="34"/>
      <c r="D574" s="21"/>
      <c r="E574" s="35"/>
      <c r="F574" s="20"/>
      <c r="G574" s="36"/>
      <c r="H574" s="37"/>
      <c r="I574" s="38"/>
      <c r="J574" s="21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 x14ac:dyDescent="0.25">
      <c r="A575" s="20"/>
      <c r="B575" s="33"/>
      <c r="C575" s="34"/>
      <c r="D575" s="21"/>
      <c r="E575" s="35"/>
      <c r="F575" s="20"/>
      <c r="G575" s="36"/>
      <c r="H575" s="37"/>
      <c r="I575" s="38"/>
      <c r="J575" s="21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 x14ac:dyDescent="0.25">
      <c r="A576" s="20"/>
      <c r="B576" s="33"/>
      <c r="C576" s="34"/>
      <c r="D576" s="21"/>
      <c r="E576" s="35"/>
      <c r="F576" s="20"/>
      <c r="G576" s="36"/>
      <c r="H576" s="37"/>
      <c r="I576" s="38"/>
      <c r="J576" s="21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 x14ac:dyDescent="0.25">
      <c r="A577" s="20"/>
      <c r="B577" s="33"/>
      <c r="C577" s="34"/>
      <c r="D577" s="21"/>
      <c r="E577" s="35"/>
      <c r="F577" s="20"/>
      <c r="G577" s="36"/>
      <c r="H577" s="37"/>
      <c r="I577" s="38"/>
      <c r="J577" s="21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 x14ac:dyDescent="0.25">
      <c r="A578" s="20"/>
      <c r="B578" s="33"/>
      <c r="C578" s="34"/>
      <c r="D578" s="21"/>
      <c r="E578" s="35"/>
      <c r="F578" s="20"/>
      <c r="G578" s="36"/>
      <c r="H578" s="37"/>
      <c r="I578" s="38"/>
      <c r="J578" s="21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 x14ac:dyDescent="0.25">
      <c r="A579" s="20"/>
      <c r="B579" s="33"/>
      <c r="C579" s="34"/>
      <c r="D579" s="21"/>
      <c r="E579" s="35"/>
      <c r="F579" s="20"/>
      <c r="G579" s="36"/>
      <c r="H579" s="37"/>
      <c r="I579" s="38"/>
      <c r="J579" s="21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 x14ac:dyDescent="0.25">
      <c r="A580" s="20"/>
      <c r="B580" s="33"/>
      <c r="C580" s="34"/>
      <c r="D580" s="21"/>
      <c r="E580" s="35"/>
      <c r="F580" s="20"/>
      <c r="G580" s="36"/>
      <c r="H580" s="37"/>
      <c r="I580" s="38"/>
      <c r="J580" s="21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 x14ac:dyDescent="0.25">
      <c r="A581" s="20"/>
      <c r="B581" s="33"/>
      <c r="C581" s="34"/>
      <c r="D581" s="21"/>
      <c r="E581" s="35"/>
      <c r="F581" s="20"/>
      <c r="G581" s="36"/>
      <c r="H581" s="37"/>
      <c r="I581" s="38"/>
      <c r="J581" s="21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 x14ac:dyDescent="0.25">
      <c r="A582" s="20"/>
      <c r="B582" s="33"/>
      <c r="C582" s="34"/>
      <c r="D582" s="21"/>
      <c r="E582" s="35"/>
      <c r="F582" s="20"/>
      <c r="G582" s="36"/>
      <c r="H582" s="37"/>
      <c r="I582" s="38"/>
      <c r="J582" s="21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 x14ac:dyDescent="0.25">
      <c r="A583" s="20"/>
      <c r="B583" s="33"/>
      <c r="C583" s="34"/>
      <c r="D583" s="21"/>
      <c r="E583" s="35"/>
      <c r="F583" s="20"/>
      <c r="G583" s="36"/>
      <c r="H583" s="37"/>
      <c r="I583" s="38"/>
      <c r="J583" s="21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 x14ac:dyDescent="0.25">
      <c r="A584" s="20"/>
      <c r="B584" s="33"/>
      <c r="C584" s="34"/>
      <c r="D584" s="21"/>
      <c r="E584" s="35"/>
      <c r="F584" s="20"/>
      <c r="G584" s="36"/>
      <c r="H584" s="37"/>
      <c r="I584" s="38"/>
      <c r="J584" s="21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 x14ac:dyDescent="0.25">
      <c r="A585" s="20"/>
      <c r="B585" s="33"/>
      <c r="C585" s="34"/>
      <c r="D585" s="21"/>
      <c r="E585" s="35"/>
      <c r="F585" s="20"/>
      <c r="G585" s="36"/>
      <c r="H585" s="37"/>
      <c r="I585" s="38"/>
      <c r="J585" s="21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 x14ac:dyDescent="0.25">
      <c r="A586" s="20"/>
      <c r="B586" s="33"/>
      <c r="C586" s="34"/>
      <c r="D586" s="21"/>
      <c r="E586" s="35"/>
      <c r="F586" s="20"/>
      <c r="G586" s="36"/>
      <c r="H586" s="37"/>
      <c r="I586" s="38"/>
      <c r="J586" s="21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 x14ac:dyDescent="0.25">
      <c r="A587" s="20"/>
      <c r="B587" s="33"/>
      <c r="C587" s="34"/>
      <c r="D587" s="21"/>
      <c r="E587" s="35"/>
      <c r="F587" s="20"/>
      <c r="G587" s="36"/>
      <c r="H587" s="37"/>
      <c r="I587" s="38"/>
      <c r="J587" s="21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 x14ac:dyDescent="0.25">
      <c r="A588" s="20"/>
      <c r="B588" s="33"/>
      <c r="C588" s="34"/>
      <c r="D588" s="21"/>
      <c r="E588" s="35"/>
      <c r="F588" s="20"/>
      <c r="G588" s="36"/>
      <c r="H588" s="37"/>
      <c r="I588" s="38"/>
      <c r="J588" s="21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 x14ac:dyDescent="0.25">
      <c r="A589" s="20"/>
      <c r="B589" s="33"/>
      <c r="C589" s="34"/>
      <c r="D589" s="21"/>
      <c r="E589" s="35"/>
      <c r="F589" s="20"/>
      <c r="G589" s="36"/>
      <c r="H589" s="37"/>
      <c r="I589" s="38"/>
      <c r="J589" s="21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 x14ac:dyDescent="0.25">
      <c r="A590" s="20"/>
      <c r="B590" s="33"/>
      <c r="C590" s="34"/>
      <c r="D590" s="21"/>
      <c r="E590" s="35"/>
      <c r="F590" s="20"/>
      <c r="G590" s="36"/>
      <c r="H590" s="37"/>
      <c r="I590" s="38"/>
      <c r="J590" s="21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 x14ac:dyDescent="0.25">
      <c r="A591" s="20"/>
      <c r="B591" s="33"/>
      <c r="C591" s="34"/>
      <c r="D591" s="21"/>
      <c r="E591" s="35"/>
      <c r="F591" s="20"/>
      <c r="G591" s="36"/>
      <c r="H591" s="37"/>
      <c r="I591" s="38"/>
      <c r="J591" s="21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 x14ac:dyDescent="0.25">
      <c r="A592" s="20"/>
      <c r="B592" s="33"/>
      <c r="C592" s="34"/>
      <c r="D592" s="21"/>
      <c r="E592" s="35"/>
      <c r="F592" s="20"/>
      <c r="G592" s="36"/>
      <c r="H592" s="37"/>
      <c r="I592" s="38"/>
      <c r="J592" s="21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 x14ac:dyDescent="0.25">
      <c r="A593" s="20"/>
      <c r="B593" s="33"/>
      <c r="C593" s="34"/>
      <c r="D593" s="21"/>
      <c r="E593" s="35"/>
      <c r="F593" s="20"/>
      <c r="G593" s="36"/>
      <c r="H593" s="37"/>
      <c r="I593" s="38"/>
      <c r="J593" s="21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 x14ac:dyDescent="0.25">
      <c r="A594" s="20"/>
      <c r="B594" s="33"/>
      <c r="C594" s="34"/>
      <c r="D594" s="21"/>
      <c r="E594" s="35"/>
      <c r="F594" s="20"/>
      <c r="G594" s="36"/>
      <c r="H594" s="37"/>
      <c r="I594" s="38"/>
      <c r="J594" s="21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 x14ac:dyDescent="0.25">
      <c r="A595" s="20"/>
      <c r="B595" s="33"/>
      <c r="C595" s="34"/>
      <c r="D595" s="21"/>
      <c r="E595" s="35"/>
      <c r="F595" s="20"/>
      <c r="G595" s="36"/>
      <c r="H595" s="37"/>
      <c r="I595" s="38"/>
      <c r="J595" s="21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 x14ac:dyDescent="0.25">
      <c r="A596" s="20"/>
      <c r="B596" s="33"/>
      <c r="C596" s="34"/>
      <c r="D596" s="21"/>
      <c r="E596" s="35"/>
      <c r="F596" s="20"/>
      <c r="G596" s="36"/>
      <c r="H596" s="37"/>
      <c r="I596" s="38"/>
      <c r="J596" s="21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 x14ac:dyDescent="0.25">
      <c r="A597" s="20"/>
      <c r="B597" s="33"/>
      <c r="C597" s="34"/>
      <c r="D597" s="21"/>
      <c r="E597" s="35"/>
      <c r="F597" s="20"/>
      <c r="G597" s="36"/>
      <c r="H597" s="37"/>
      <c r="I597" s="38"/>
      <c r="J597" s="21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 x14ac:dyDescent="0.25">
      <c r="A598" s="20"/>
      <c r="B598" s="33"/>
      <c r="C598" s="34"/>
      <c r="D598" s="21"/>
      <c r="E598" s="35"/>
      <c r="F598" s="20"/>
      <c r="G598" s="36"/>
      <c r="H598" s="37"/>
      <c r="I598" s="38"/>
      <c r="J598" s="21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 x14ac:dyDescent="0.25">
      <c r="A599" s="20"/>
      <c r="B599" s="33"/>
      <c r="C599" s="34"/>
      <c r="D599" s="21"/>
      <c r="E599" s="35"/>
      <c r="F599" s="20"/>
      <c r="G599" s="36"/>
      <c r="H599" s="37"/>
      <c r="I599" s="38"/>
      <c r="J599" s="21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 x14ac:dyDescent="0.25">
      <c r="A600" s="20"/>
      <c r="B600" s="33"/>
      <c r="C600" s="34"/>
      <c r="D600" s="21"/>
      <c r="E600" s="35"/>
      <c r="F600" s="20"/>
      <c r="G600" s="36"/>
      <c r="H600" s="37"/>
      <c r="I600" s="38"/>
      <c r="J600" s="21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 x14ac:dyDescent="0.25">
      <c r="A601" s="20"/>
      <c r="B601" s="33"/>
      <c r="C601" s="34"/>
      <c r="D601" s="21"/>
      <c r="E601" s="35"/>
      <c r="F601" s="20"/>
      <c r="G601" s="36"/>
      <c r="H601" s="37"/>
      <c r="I601" s="38"/>
      <c r="J601" s="21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 x14ac:dyDescent="0.25">
      <c r="A602" s="20"/>
      <c r="B602" s="33"/>
      <c r="C602" s="34"/>
      <c r="D602" s="21"/>
      <c r="E602" s="35"/>
      <c r="F602" s="20"/>
      <c r="G602" s="36"/>
      <c r="H602" s="37"/>
      <c r="I602" s="38"/>
      <c r="J602" s="21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 x14ac:dyDescent="0.25">
      <c r="A603" s="20"/>
      <c r="B603" s="33"/>
      <c r="C603" s="34"/>
      <c r="D603" s="21"/>
      <c r="E603" s="35"/>
      <c r="F603" s="20"/>
      <c r="G603" s="36"/>
      <c r="H603" s="37"/>
      <c r="I603" s="38"/>
      <c r="J603" s="21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 x14ac:dyDescent="0.25">
      <c r="A604" s="20"/>
      <c r="B604" s="33"/>
      <c r="C604" s="34"/>
      <c r="D604" s="21"/>
      <c r="E604" s="35"/>
      <c r="F604" s="20"/>
      <c r="G604" s="36"/>
      <c r="H604" s="37"/>
      <c r="I604" s="38"/>
      <c r="J604" s="21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 x14ac:dyDescent="0.25">
      <c r="A605" s="20"/>
      <c r="B605" s="33"/>
      <c r="C605" s="34"/>
      <c r="D605" s="21"/>
      <c r="E605" s="35"/>
      <c r="F605" s="20"/>
      <c r="G605" s="36"/>
      <c r="H605" s="37"/>
      <c r="I605" s="38"/>
      <c r="J605" s="21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 x14ac:dyDescent="0.25">
      <c r="A606" s="20"/>
      <c r="B606" s="33"/>
      <c r="C606" s="34"/>
      <c r="D606" s="21"/>
      <c r="E606" s="35"/>
      <c r="F606" s="20"/>
      <c r="G606" s="36"/>
      <c r="H606" s="37"/>
      <c r="I606" s="38"/>
      <c r="J606" s="21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 x14ac:dyDescent="0.25">
      <c r="A607" s="20"/>
      <c r="B607" s="33"/>
      <c r="C607" s="34"/>
      <c r="D607" s="21"/>
      <c r="E607" s="35"/>
      <c r="F607" s="20"/>
      <c r="G607" s="36"/>
      <c r="H607" s="37"/>
      <c r="I607" s="38"/>
      <c r="J607" s="21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 x14ac:dyDescent="0.25">
      <c r="A608" s="20"/>
      <c r="B608" s="33"/>
      <c r="C608" s="34"/>
      <c r="D608" s="21"/>
      <c r="E608" s="35"/>
      <c r="F608" s="20"/>
      <c r="G608" s="36"/>
      <c r="H608" s="37"/>
      <c r="I608" s="38"/>
      <c r="J608" s="21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 x14ac:dyDescent="0.25">
      <c r="A609" s="20"/>
      <c r="B609" s="33"/>
      <c r="C609" s="34"/>
      <c r="D609" s="21"/>
      <c r="E609" s="35"/>
      <c r="F609" s="20"/>
      <c r="G609" s="36"/>
      <c r="H609" s="37"/>
      <c r="I609" s="38"/>
      <c r="J609" s="21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 x14ac:dyDescent="0.25">
      <c r="A610" s="20"/>
      <c r="B610" s="33"/>
      <c r="C610" s="34"/>
      <c r="D610" s="21"/>
      <c r="E610" s="35"/>
      <c r="F610" s="20"/>
      <c r="G610" s="36"/>
      <c r="H610" s="37"/>
      <c r="I610" s="38"/>
      <c r="J610" s="21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 x14ac:dyDescent="0.25">
      <c r="A611" s="20"/>
      <c r="B611" s="33"/>
      <c r="C611" s="34"/>
      <c r="D611" s="21"/>
      <c r="E611" s="35"/>
      <c r="F611" s="20"/>
      <c r="G611" s="36"/>
      <c r="H611" s="37"/>
      <c r="I611" s="38"/>
      <c r="J611" s="21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 x14ac:dyDescent="0.25">
      <c r="A612" s="20"/>
      <c r="B612" s="33"/>
      <c r="C612" s="34"/>
      <c r="D612" s="21"/>
      <c r="E612" s="35"/>
      <c r="F612" s="20"/>
      <c r="G612" s="36"/>
      <c r="H612" s="37"/>
      <c r="I612" s="38"/>
      <c r="J612" s="21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 x14ac:dyDescent="0.25">
      <c r="A613" s="20"/>
      <c r="B613" s="33"/>
      <c r="C613" s="34"/>
      <c r="D613" s="21"/>
      <c r="E613" s="35"/>
      <c r="F613" s="20"/>
      <c r="G613" s="36"/>
      <c r="H613" s="37"/>
      <c r="I613" s="38"/>
      <c r="J613" s="21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 x14ac:dyDescent="0.25">
      <c r="A614" s="20"/>
      <c r="B614" s="33"/>
      <c r="C614" s="34"/>
      <c r="D614" s="21"/>
      <c r="E614" s="35"/>
      <c r="F614" s="20"/>
      <c r="G614" s="36"/>
      <c r="H614" s="37"/>
      <c r="I614" s="38"/>
      <c r="J614" s="21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 x14ac:dyDescent="0.25">
      <c r="A615" s="20"/>
      <c r="B615" s="33"/>
      <c r="C615" s="34"/>
      <c r="D615" s="21"/>
      <c r="E615" s="35"/>
      <c r="F615" s="20"/>
      <c r="G615" s="36"/>
      <c r="H615" s="37"/>
      <c r="I615" s="38"/>
      <c r="J615" s="21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 x14ac:dyDescent="0.25">
      <c r="A616" s="20"/>
      <c r="B616" s="33"/>
      <c r="C616" s="34"/>
      <c r="D616" s="21"/>
      <c r="E616" s="35"/>
      <c r="F616" s="20"/>
      <c r="G616" s="36"/>
      <c r="H616" s="37"/>
      <c r="I616" s="38"/>
      <c r="J616" s="21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 x14ac:dyDescent="0.25">
      <c r="A617" s="20"/>
      <c r="B617" s="33"/>
      <c r="C617" s="34"/>
      <c r="D617" s="21"/>
      <c r="E617" s="35"/>
      <c r="F617" s="20"/>
      <c r="G617" s="36"/>
      <c r="H617" s="37"/>
      <c r="I617" s="38"/>
      <c r="J617" s="21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 x14ac:dyDescent="0.25">
      <c r="A618" s="20"/>
      <c r="B618" s="33"/>
      <c r="C618" s="34"/>
      <c r="D618" s="21"/>
      <c r="E618" s="35"/>
      <c r="F618" s="20"/>
      <c r="G618" s="36"/>
      <c r="H618" s="37"/>
      <c r="I618" s="38"/>
      <c r="J618" s="21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 x14ac:dyDescent="0.25">
      <c r="A619" s="20"/>
      <c r="B619" s="33"/>
      <c r="C619" s="34"/>
      <c r="D619" s="21"/>
      <c r="E619" s="35"/>
      <c r="F619" s="20"/>
      <c r="G619" s="36"/>
      <c r="H619" s="37"/>
      <c r="I619" s="38"/>
      <c r="J619" s="21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 x14ac:dyDescent="0.25">
      <c r="A620" s="20"/>
      <c r="B620" s="33"/>
      <c r="C620" s="34"/>
      <c r="D620" s="21"/>
      <c r="E620" s="35"/>
      <c r="F620" s="20"/>
      <c r="G620" s="36"/>
      <c r="H620" s="37"/>
      <c r="I620" s="38"/>
      <c r="J620" s="21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 x14ac:dyDescent="0.25">
      <c r="A621" s="20"/>
      <c r="B621" s="33"/>
      <c r="C621" s="34"/>
      <c r="D621" s="21"/>
      <c r="E621" s="35"/>
      <c r="F621" s="20"/>
      <c r="G621" s="36"/>
      <c r="H621" s="37"/>
      <c r="I621" s="38"/>
      <c r="J621" s="21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 x14ac:dyDescent="0.25">
      <c r="A622" s="20"/>
      <c r="B622" s="33"/>
      <c r="C622" s="34"/>
      <c r="D622" s="21"/>
      <c r="E622" s="35"/>
      <c r="F622" s="20"/>
      <c r="G622" s="36"/>
      <c r="H622" s="37"/>
      <c r="I622" s="38"/>
      <c r="J622" s="21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 x14ac:dyDescent="0.25">
      <c r="A623" s="20"/>
      <c r="B623" s="33"/>
      <c r="C623" s="34"/>
      <c r="D623" s="21"/>
      <c r="E623" s="35"/>
      <c r="F623" s="20"/>
      <c r="G623" s="36"/>
      <c r="H623" s="37"/>
      <c r="I623" s="38"/>
      <c r="J623" s="21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 x14ac:dyDescent="0.25">
      <c r="A624" s="20"/>
      <c r="B624" s="33"/>
      <c r="C624" s="34"/>
      <c r="D624" s="21"/>
      <c r="E624" s="35"/>
      <c r="F624" s="20"/>
      <c r="G624" s="36"/>
      <c r="H624" s="37"/>
      <c r="I624" s="38"/>
      <c r="J624" s="21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 x14ac:dyDescent="0.25">
      <c r="A625" s="20"/>
      <c r="B625" s="33"/>
      <c r="C625" s="34"/>
      <c r="D625" s="21"/>
      <c r="E625" s="35"/>
      <c r="F625" s="20"/>
      <c r="G625" s="36"/>
      <c r="H625" s="37"/>
      <c r="I625" s="38"/>
      <c r="J625" s="21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 x14ac:dyDescent="0.25">
      <c r="A626" s="20"/>
      <c r="B626" s="33"/>
      <c r="C626" s="34"/>
      <c r="D626" s="21"/>
      <c r="E626" s="35"/>
      <c r="F626" s="20"/>
      <c r="G626" s="36"/>
      <c r="H626" s="37"/>
      <c r="I626" s="38"/>
      <c r="J626" s="21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 x14ac:dyDescent="0.25">
      <c r="A627" s="20"/>
      <c r="B627" s="33"/>
      <c r="C627" s="34"/>
      <c r="D627" s="21"/>
      <c r="E627" s="35"/>
      <c r="F627" s="20"/>
      <c r="G627" s="36"/>
      <c r="H627" s="37"/>
      <c r="I627" s="38"/>
      <c r="J627" s="21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 x14ac:dyDescent="0.25">
      <c r="A628" s="20"/>
      <c r="B628" s="33"/>
      <c r="C628" s="34"/>
      <c r="D628" s="21"/>
      <c r="E628" s="35"/>
      <c r="F628" s="20"/>
      <c r="G628" s="36"/>
      <c r="H628" s="37"/>
      <c r="I628" s="38"/>
      <c r="J628" s="21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 x14ac:dyDescent="0.25">
      <c r="A629" s="20"/>
      <c r="B629" s="33"/>
      <c r="C629" s="34"/>
      <c r="D629" s="21"/>
      <c r="E629" s="35"/>
      <c r="F629" s="20"/>
      <c r="G629" s="36"/>
      <c r="H629" s="37"/>
      <c r="I629" s="38"/>
      <c r="J629" s="21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 x14ac:dyDescent="0.25">
      <c r="A630" s="20"/>
      <c r="B630" s="33"/>
      <c r="C630" s="34"/>
      <c r="D630" s="21"/>
      <c r="E630" s="35"/>
      <c r="F630" s="20"/>
      <c r="G630" s="36"/>
      <c r="H630" s="37"/>
      <c r="I630" s="38"/>
      <c r="J630" s="21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 x14ac:dyDescent="0.25">
      <c r="A631" s="20"/>
      <c r="B631" s="33"/>
      <c r="C631" s="34"/>
      <c r="D631" s="21"/>
      <c r="E631" s="35"/>
      <c r="F631" s="20"/>
      <c r="G631" s="36"/>
      <c r="H631" s="37"/>
      <c r="I631" s="38"/>
      <c r="J631" s="21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 x14ac:dyDescent="0.25">
      <c r="A632" s="20"/>
      <c r="B632" s="33"/>
      <c r="C632" s="34"/>
      <c r="D632" s="21"/>
      <c r="E632" s="35"/>
      <c r="F632" s="20"/>
      <c r="G632" s="36"/>
      <c r="H632" s="37"/>
      <c r="I632" s="38"/>
      <c r="J632" s="21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 x14ac:dyDescent="0.25">
      <c r="A633" s="20"/>
      <c r="B633" s="33"/>
      <c r="C633" s="34"/>
      <c r="D633" s="21"/>
      <c r="E633" s="35"/>
      <c r="F633" s="20"/>
      <c r="G633" s="36"/>
      <c r="H633" s="37"/>
      <c r="I633" s="38"/>
      <c r="J633" s="21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 x14ac:dyDescent="0.25">
      <c r="A634" s="20"/>
      <c r="B634" s="33"/>
      <c r="C634" s="34"/>
      <c r="D634" s="21"/>
      <c r="E634" s="35"/>
      <c r="F634" s="20"/>
      <c r="G634" s="36"/>
      <c r="H634" s="37"/>
      <c r="I634" s="38"/>
      <c r="J634" s="21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 x14ac:dyDescent="0.25">
      <c r="A635" s="20"/>
      <c r="B635" s="33"/>
      <c r="C635" s="34"/>
      <c r="D635" s="21"/>
      <c r="E635" s="35"/>
      <c r="F635" s="20"/>
      <c r="G635" s="36"/>
      <c r="H635" s="37"/>
      <c r="I635" s="38"/>
      <c r="J635" s="21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 x14ac:dyDescent="0.25">
      <c r="A636" s="20"/>
      <c r="B636" s="33"/>
      <c r="C636" s="34"/>
      <c r="D636" s="21"/>
      <c r="E636" s="35"/>
      <c r="F636" s="20"/>
      <c r="G636" s="36"/>
      <c r="H636" s="37"/>
      <c r="I636" s="38"/>
      <c r="J636" s="21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 x14ac:dyDescent="0.25">
      <c r="A637" s="20"/>
      <c r="B637" s="33"/>
      <c r="C637" s="34"/>
      <c r="D637" s="21"/>
      <c r="E637" s="35"/>
      <c r="F637" s="20"/>
      <c r="G637" s="36"/>
      <c r="H637" s="37"/>
      <c r="I637" s="38"/>
      <c r="J637" s="21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 x14ac:dyDescent="0.25">
      <c r="A638" s="20"/>
      <c r="B638" s="33"/>
      <c r="C638" s="34"/>
      <c r="D638" s="21"/>
      <c r="E638" s="35"/>
      <c r="F638" s="20"/>
      <c r="G638" s="36"/>
      <c r="H638" s="37"/>
      <c r="I638" s="38"/>
      <c r="J638" s="21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 x14ac:dyDescent="0.25">
      <c r="A639" s="20"/>
      <c r="B639" s="33"/>
      <c r="C639" s="34"/>
      <c r="D639" s="21"/>
      <c r="E639" s="35"/>
      <c r="F639" s="20"/>
      <c r="G639" s="36"/>
      <c r="H639" s="37"/>
      <c r="I639" s="38"/>
      <c r="J639" s="21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 x14ac:dyDescent="0.25">
      <c r="A640" s="20"/>
      <c r="B640" s="33"/>
      <c r="C640" s="34"/>
      <c r="D640" s="21"/>
      <c r="E640" s="35"/>
      <c r="F640" s="20"/>
      <c r="G640" s="36"/>
      <c r="H640" s="37"/>
      <c r="I640" s="38"/>
      <c r="J640" s="21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 x14ac:dyDescent="0.25">
      <c r="A641" s="20"/>
      <c r="B641" s="33"/>
      <c r="C641" s="34"/>
      <c r="D641" s="21"/>
      <c r="E641" s="35"/>
      <c r="F641" s="20"/>
      <c r="G641" s="36"/>
      <c r="H641" s="37"/>
      <c r="I641" s="38"/>
      <c r="J641" s="21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 x14ac:dyDescent="0.25">
      <c r="A642" s="20"/>
      <c r="B642" s="33"/>
      <c r="C642" s="34"/>
      <c r="D642" s="21"/>
      <c r="E642" s="35"/>
      <c r="F642" s="20"/>
      <c r="G642" s="36"/>
      <c r="H642" s="37"/>
      <c r="I642" s="38"/>
      <c r="J642" s="21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 x14ac:dyDescent="0.25">
      <c r="A643" s="20"/>
      <c r="B643" s="33"/>
      <c r="C643" s="34"/>
      <c r="D643" s="21"/>
      <c r="E643" s="35"/>
      <c r="F643" s="20"/>
      <c r="G643" s="36"/>
      <c r="H643" s="37"/>
      <c r="I643" s="38"/>
      <c r="J643" s="21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 x14ac:dyDescent="0.25">
      <c r="A644" s="20"/>
      <c r="B644" s="33"/>
      <c r="C644" s="34"/>
      <c r="D644" s="21"/>
      <c r="E644" s="35"/>
      <c r="F644" s="20"/>
      <c r="G644" s="36"/>
      <c r="H644" s="37"/>
      <c r="I644" s="38"/>
      <c r="J644" s="21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 x14ac:dyDescent="0.25">
      <c r="A645" s="20"/>
      <c r="B645" s="33"/>
      <c r="C645" s="34"/>
      <c r="D645" s="21"/>
      <c r="E645" s="35"/>
      <c r="F645" s="20"/>
      <c r="G645" s="36"/>
      <c r="H645" s="37"/>
      <c r="I645" s="38"/>
      <c r="J645" s="21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 x14ac:dyDescent="0.25">
      <c r="A646" s="20"/>
      <c r="B646" s="33"/>
      <c r="C646" s="34"/>
      <c r="D646" s="21"/>
      <c r="E646" s="35"/>
      <c r="F646" s="20"/>
      <c r="G646" s="36"/>
      <c r="H646" s="37"/>
      <c r="I646" s="38"/>
      <c r="J646" s="21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 x14ac:dyDescent="0.25">
      <c r="A647" s="20"/>
      <c r="B647" s="33"/>
      <c r="C647" s="34"/>
      <c r="D647" s="21"/>
      <c r="E647" s="35"/>
      <c r="F647" s="20"/>
      <c r="G647" s="36"/>
      <c r="H647" s="37"/>
      <c r="I647" s="38"/>
      <c r="J647" s="21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 x14ac:dyDescent="0.25">
      <c r="A648" s="20"/>
      <c r="B648" s="33"/>
      <c r="C648" s="34"/>
      <c r="D648" s="21"/>
      <c r="E648" s="35"/>
      <c r="F648" s="20"/>
      <c r="G648" s="36"/>
      <c r="H648" s="37"/>
      <c r="I648" s="38"/>
      <c r="J648" s="21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 x14ac:dyDescent="0.25">
      <c r="A649" s="20"/>
      <c r="B649" s="33"/>
      <c r="C649" s="34"/>
      <c r="D649" s="21"/>
      <c r="E649" s="35"/>
      <c r="F649" s="20"/>
      <c r="G649" s="36"/>
      <c r="H649" s="37"/>
      <c r="I649" s="38"/>
      <c r="J649" s="21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 x14ac:dyDescent="0.25">
      <c r="A650" s="20"/>
      <c r="B650" s="33"/>
      <c r="C650" s="34"/>
      <c r="D650" s="21"/>
      <c r="E650" s="35"/>
      <c r="F650" s="20"/>
      <c r="G650" s="36"/>
      <c r="H650" s="37"/>
      <c r="I650" s="38"/>
      <c r="J650" s="21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 x14ac:dyDescent="0.25">
      <c r="A651" s="20"/>
      <c r="B651" s="33"/>
      <c r="C651" s="34"/>
      <c r="D651" s="21"/>
      <c r="E651" s="35"/>
      <c r="F651" s="20"/>
      <c r="G651" s="36"/>
      <c r="H651" s="37"/>
      <c r="I651" s="38"/>
      <c r="J651" s="21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 x14ac:dyDescent="0.25">
      <c r="A652" s="20"/>
      <c r="B652" s="33"/>
      <c r="C652" s="34"/>
      <c r="D652" s="21"/>
      <c r="E652" s="35"/>
      <c r="F652" s="20"/>
      <c r="G652" s="36"/>
      <c r="H652" s="37"/>
      <c r="I652" s="38"/>
      <c r="J652" s="21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 x14ac:dyDescent="0.25">
      <c r="A653" s="20"/>
      <c r="B653" s="33"/>
      <c r="C653" s="34"/>
      <c r="D653" s="21"/>
      <c r="E653" s="35"/>
      <c r="F653" s="20"/>
      <c r="G653" s="36"/>
      <c r="H653" s="37"/>
      <c r="I653" s="38"/>
      <c r="J653" s="21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 x14ac:dyDescent="0.25">
      <c r="A654" s="20"/>
      <c r="B654" s="33"/>
      <c r="C654" s="34"/>
      <c r="D654" s="21"/>
      <c r="E654" s="35"/>
      <c r="F654" s="20"/>
      <c r="G654" s="36"/>
      <c r="H654" s="37"/>
      <c r="I654" s="38"/>
      <c r="J654" s="21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 x14ac:dyDescent="0.25">
      <c r="A655" s="20"/>
      <c r="B655" s="33"/>
      <c r="C655" s="34"/>
      <c r="D655" s="21"/>
      <c r="E655" s="35"/>
      <c r="F655" s="20"/>
      <c r="G655" s="36"/>
      <c r="H655" s="37"/>
      <c r="I655" s="38"/>
      <c r="J655" s="21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 x14ac:dyDescent="0.25">
      <c r="A656" s="20"/>
      <c r="B656" s="33"/>
      <c r="C656" s="34"/>
      <c r="D656" s="21"/>
      <c r="E656" s="35"/>
      <c r="F656" s="20"/>
      <c r="G656" s="36"/>
      <c r="H656" s="37"/>
      <c r="I656" s="38"/>
      <c r="J656" s="21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 x14ac:dyDescent="0.25">
      <c r="A657" s="20"/>
      <c r="B657" s="33"/>
      <c r="C657" s="34"/>
      <c r="D657" s="21"/>
      <c r="E657" s="35"/>
      <c r="F657" s="20"/>
      <c r="G657" s="36"/>
      <c r="H657" s="37"/>
      <c r="I657" s="38"/>
      <c r="J657" s="21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 x14ac:dyDescent="0.25">
      <c r="A658" s="20"/>
      <c r="B658" s="33"/>
      <c r="C658" s="34"/>
      <c r="D658" s="21"/>
      <c r="E658" s="35"/>
      <c r="F658" s="20"/>
      <c r="G658" s="36"/>
      <c r="H658" s="37"/>
      <c r="I658" s="38"/>
      <c r="J658" s="21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 x14ac:dyDescent="0.25">
      <c r="A659" s="20"/>
      <c r="B659" s="33"/>
      <c r="C659" s="34"/>
      <c r="D659" s="21"/>
      <c r="E659" s="35"/>
      <c r="F659" s="20"/>
      <c r="G659" s="36"/>
      <c r="H659" s="37"/>
      <c r="I659" s="38"/>
      <c r="J659" s="21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 x14ac:dyDescent="0.25">
      <c r="A660" s="20"/>
      <c r="B660" s="33"/>
      <c r="C660" s="34"/>
      <c r="D660" s="21"/>
      <c r="E660" s="35"/>
      <c r="F660" s="20"/>
      <c r="G660" s="36"/>
      <c r="H660" s="37"/>
      <c r="I660" s="38"/>
      <c r="J660" s="21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 x14ac:dyDescent="0.25">
      <c r="A661" s="20"/>
      <c r="B661" s="33"/>
      <c r="C661" s="34"/>
      <c r="D661" s="21"/>
      <c r="E661" s="35"/>
      <c r="F661" s="20"/>
      <c r="G661" s="36"/>
      <c r="H661" s="37"/>
      <c r="I661" s="38"/>
      <c r="J661" s="21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 x14ac:dyDescent="0.25">
      <c r="A662" s="20"/>
      <c r="B662" s="33"/>
      <c r="C662" s="34"/>
      <c r="D662" s="21"/>
      <c r="E662" s="35"/>
      <c r="F662" s="20"/>
      <c r="G662" s="36"/>
      <c r="H662" s="37"/>
      <c r="I662" s="38"/>
      <c r="J662" s="21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 x14ac:dyDescent="0.25">
      <c r="A663" s="20"/>
      <c r="B663" s="33"/>
      <c r="C663" s="34"/>
      <c r="D663" s="21"/>
      <c r="E663" s="35"/>
      <c r="F663" s="20"/>
      <c r="G663" s="36"/>
      <c r="H663" s="37"/>
      <c r="I663" s="38"/>
      <c r="J663" s="21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 x14ac:dyDescent="0.25">
      <c r="A664" s="20"/>
      <c r="B664" s="33"/>
      <c r="C664" s="34"/>
      <c r="D664" s="21"/>
      <c r="E664" s="35"/>
      <c r="F664" s="20"/>
      <c r="G664" s="36"/>
      <c r="H664" s="37"/>
      <c r="I664" s="38"/>
      <c r="J664" s="21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 x14ac:dyDescent="0.25">
      <c r="A665" s="20"/>
      <c r="B665" s="33"/>
      <c r="C665" s="34"/>
      <c r="D665" s="21"/>
      <c r="E665" s="35"/>
      <c r="F665" s="20"/>
      <c r="G665" s="36"/>
      <c r="H665" s="37"/>
      <c r="I665" s="38"/>
      <c r="J665" s="21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 x14ac:dyDescent="0.25">
      <c r="A666" s="20"/>
      <c r="B666" s="33"/>
      <c r="C666" s="34"/>
      <c r="D666" s="21"/>
      <c r="E666" s="35"/>
      <c r="F666" s="20"/>
      <c r="G666" s="36"/>
      <c r="H666" s="37"/>
      <c r="I666" s="38"/>
      <c r="J666" s="21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 x14ac:dyDescent="0.25">
      <c r="A667" s="20"/>
      <c r="B667" s="33"/>
      <c r="C667" s="34"/>
      <c r="D667" s="21"/>
      <c r="E667" s="35"/>
      <c r="F667" s="20"/>
      <c r="G667" s="36"/>
      <c r="H667" s="37"/>
      <c r="I667" s="38"/>
      <c r="J667" s="21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 x14ac:dyDescent="0.25">
      <c r="A668" s="20"/>
      <c r="B668" s="33"/>
      <c r="C668" s="34"/>
      <c r="D668" s="21"/>
      <c r="E668" s="35"/>
      <c r="F668" s="20"/>
      <c r="G668" s="36"/>
      <c r="H668" s="37"/>
      <c r="I668" s="38"/>
      <c r="J668" s="21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 x14ac:dyDescent="0.25">
      <c r="A669" s="20"/>
      <c r="B669" s="33"/>
      <c r="C669" s="34"/>
      <c r="D669" s="21"/>
      <c r="E669" s="35"/>
      <c r="F669" s="20"/>
      <c r="G669" s="36"/>
      <c r="H669" s="37"/>
      <c r="I669" s="38"/>
      <c r="J669" s="21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 x14ac:dyDescent="0.25">
      <c r="A670" s="20"/>
      <c r="B670" s="33"/>
      <c r="C670" s="34"/>
      <c r="D670" s="21"/>
      <c r="E670" s="35"/>
      <c r="F670" s="20"/>
      <c r="G670" s="36"/>
      <c r="H670" s="37"/>
      <c r="I670" s="38"/>
      <c r="J670" s="21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 x14ac:dyDescent="0.25">
      <c r="A671" s="20"/>
      <c r="B671" s="33"/>
      <c r="C671" s="34"/>
      <c r="D671" s="21"/>
      <c r="E671" s="35"/>
      <c r="F671" s="20"/>
      <c r="G671" s="36"/>
      <c r="H671" s="37"/>
      <c r="I671" s="38"/>
      <c r="J671" s="21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 x14ac:dyDescent="0.25">
      <c r="A672" s="20"/>
      <c r="B672" s="33"/>
      <c r="C672" s="34"/>
      <c r="D672" s="21"/>
      <c r="E672" s="35"/>
      <c r="F672" s="20"/>
      <c r="G672" s="36"/>
      <c r="H672" s="37"/>
      <c r="I672" s="38"/>
      <c r="J672" s="21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 x14ac:dyDescent="0.25">
      <c r="A673" s="20"/>
      <c r="B673" s="33"/>
      <c r="C673" s="34"/>
      <c r="D673" s="21"/>
      <c r="E673" s="35"/>
      <c r="F673" s="20"/>
      <c r="G673" s="36"/>
      <c r="H673" s="37"/>
      <c r="I673" s="38"/>
      <c r="J673" s="21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 x14ac:dyDescent="0.25">
      <c r="A674" s="20"/>
      <c r="B674" s="33"/>
      <c r="C674" s="34"/>
      <c r="D674" s="21"/>
      <c r="E674" s="35"/>
      <c r="F674" s="20"/>
      <c r="G674" s="36"/>
      <c r="H674" s="37"/>
      <c r="I674" s="38"/>
      <c r="J674" s="21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 x14ac:dyDescent="0.25">
      <c r="A675" s="20"/>
      <c r="B675" s="33"/>
      <c r="C675" s="34"/>
      <c r="D675" s="21"/>
      <c r="E675" s="35"/>
      <c r="F675" s="20"/>
      <c r="G675" s="36"/>
      <c r="H675" s="37"/>
      <c r="I675" s="38"/>
      <c r="J675" s="21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 x14ac:dyDescent="0.25">
      <c r="A676" s="20"/>
      <c r="B676" s="33"/>
      <c r="C676" s="34"/>
      <c r="D676" s="21"/>
      <c r="E676" s="35"/>
      <c r="F676" s="20"/>
      <c r="G676" s="36"/>
      <c r="H676" s="37"/>
      <c r="I676" s="38"/>
      <c r="J676" s="21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 x14ac:dyDescent="0.25">
      <c r="A677" s="20"/>
      <c r="B677" s="33"/>
      <c r="C677" s="34"/>
      <c r="D677" s="21"/>
      <c r="E677" s="35"/>
      <c r="F677" s="20"/>
      <c r="G677" s="36"/>
      <c r="H677" s="37"/>
      <c r="I677" s="38"/>
      <c r="J677" s="21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 x14ac:dyDescent="0.25">
      <c r="A678" s="20"/>
      <c r="B678" s="33"/>
      <c r="C678" s="34"/>
      <c r="D678" s="21"/>
      <c r="E678" s="35"/>
      <c r="F678" s="20"/>
      <c r="G678" s="36"/>
      <c r="H678" s="37"/>
      <c r="I678" s="38"/>
      <c r="J678" s="21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 x14ac:dyDescent="0.25">
      <c r="A679" s="20"/>
      <c r="B679" s="33"/>
      <c r="C679" s="34"/>
      <c r="D679" s="21"/>
      <c r="E679" s="35"/>
      <c r="F679" s="20"/>
      <c r="G679" s="36"/>
      <c r="H679" s="37"/>
      <c r="I679" s="38"/>
      <c r="J679" s="21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 x14ac:dyDescent="0.25">
      <c r="A680" s="20"/>
      <c r="B680" s="33"/>
      <c r="C680" s="34"/>
      <c r="D680" s="21"/>
      <c r="E680" s="35"/>
      <c r="F680" s="20"/>
      <c r="G680" s="36"/>
      <c r="H680" s="37"/>
      <c r="I680" s="38"/>
      <c r="J680" s="21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 x14ac:dyDescent="0.25">
      <c r="A681" s="20"/>
      <c r="B681" s="33"/>
      <c r="C681" s="34"/>
      <c r="D681" s="21"/>
      <c r="E681" s="35"/>
      <c r="F681" s="20"/>
      <c r="G681" s="36"/>
      <c r="H681" s="37"/>
      <c r="I681" s="38"/>
      <c r="J681" s="21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 x14ac:dyDescent="0.25">
      <c r="A682" s="20"/>
      <c r="B682" s="33"/>
      <c r="C682" s="34"/>
      <c r="D682" s="21"/>
      <c r="E682" s="35"/>
      <c r="F682" s="20"/>
      <c r="G682" s="36"/>
      <c r="H682" s="37"/>
      <c r="I682" s="38"/>
      <c r="J682" s="21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 x14ac:dyDescent="0.25">
      <c r="A683" s="20"/>
      <c r="B683" s="33"/>
      <c r="C683" s="34"/>
      <c r="D683" s="21"/>
      <c r="E683" s="35"/>
      <c r="F683" s="20"/>
      <c r="G683" s="36"/>
      <c r="H683" s="37"/>
      <c r="I683" s="38"/>
      <c r="J683" s="21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 x14ac:dyDescent="0.25">
      <c r="A684" s="20"/>
      <c r="B684" s="33"/>
      <c r="C684" s="34"/>
      <c r="D684" s="21"/>
      <c r="E684" s="35"/>
      <c r="F684" s="20"/>
      <c r="G684" s="36"/>
      <c r="H684" s="37"/>
      <c r="I684" s="38"/>
      <c r="J684" s="21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 x14ac:dyDescent="0.25">
      <c r="A685" s="20"/>
      <c r="B685" s="33"/>
      <c r="C685" s="34"/>
      <c r="D685" s="21"/>
      <c r="E685" s="35"/>
      <c r="F685" s="20"/>
      <c r="G685" s="36"/>
      <c r="H685" s="37"/>
      <c r="I685" s="38"/>
      <c r="J685" s="21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 x14ac:dyDescent="0.25">
      <c r="A686" s="20"/>
      <c r="B686" s="33"/>
      <c r="C686" s="34"/>
      <c r="D686" s="21"/>
      <c r="E686" s="35"/>
      <c r="F686" s="20"/>
      <c r="G686" s="36"/>
      <c r="H686" s="37"/>
      <c r="I686" s="38"/>
      <c r="J686" s="21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 x14ac:dyDescent="0.25">
      <c r="A687" s="20"/>
      <c r="B687" s="33"/>
      <c r="C687" s="34"/>
      <c r="D687" s="21"/>
      <c r="E687" s="35"/>
      <c r="F687" s="20"/>
      <c r="G687" s="36"/>
      <c r="H687" s="37"/>
      <c r="I687" s="38"/>
      <c r="J687" s="21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 x14ac:dyDescent="0.25">
      <c r="A688" s="20"/>
      <c r="B688" s="33"/>
      <c r="C688" s="34"/>
      <c r="D688" s="21"/>
      <c r="E688" s="35"/>
      <c r="F688" s="20"/>
      <c r="G688" s="36"/>
      <c r="H688" s="37"/>
      <c r="I688" s="38"/>
      <c r="J688" s="21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 x14ac:dyDescent="0.25">
      <c r="A689" s="20"/>
      <c r="B689" s="33"/>
      <c r="C689" s="34"/>
      <c r="D689" s="21"/>
      <c r="E689" s="35"/>
      <c r="F689" s="20"/>
      <c r="G689" s="36"/>
      <c r="H689" s="37"/>
      <c r="I689" s="38"/>
      <c r="J689" s="21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 x14ac:dyDescent="0.25">
      <c r="A690" s="20"/>
      <c r="B690" s="33"/>
      <c r="C690" s="34"/>
      <c r="D690" s="21"/>
      <c r="E690" s="35"/>
      <c r="F690" s="20"/>
      <c r="G690" s="36"/>
      <c r="H690" s="37"/>
      <c r="I690" s="38"/>
      <c r="J690" s="21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 x14ac:dyDescent="0.25">
      <c r="A691" s="20"/>
      <c r="B691" s="33"/>
      <c r="C691" s="34"/>
      <c r="D691" s="21"/>
      <c r="E691" s="35"/>
      <c r="F691" s="20"/>
      <c r="G691" s="36"/>
      <c r="H691" s="37"/>
      <c r="I691" s="38"/>
      <c r="J691" s="21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 x14ac:dyDescent="0.25">
      <c r="A692" s="20"/>
      <c r="B692" s="33"/>
      <c r="C692" s="34"/>
      <c r="D692" s="21"/>
      <c r="E692" s="35"/>
      <c r="F692" s="20"/>
      <c r="G692" s="36"/>
      <c r="H692" s="37"/>
      <c r="I692" s="38"/>
      <c r="J692" s="21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 x14ac:dyDescent="0.25">
      <c r="A693" s="20"/>
      <c r="B693" s="33"/>
      <c r="C693" s="34"/>
      <c r="D693" s="21"/>
      <c r="E693" s="35"/>
      <c r="F693" s="20"/>
      <c r="G693" s="36"/>
      <c r="H693" s="37"/>
      <c r="I693" s="38"/>
      <c r="J693" s="21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 x14ac:dyDescent="0.25">
      <c r="A694" s="20"/>
      <c r="B694" s="33"/>
      <c r="C694" s="34"/>
      <c r="D694" s="21"/>
      <c r="E694" s="35"/>
      <c r="F694" s="20"/>
      <c r="G694" s="36"/>
      <c r="H694" s="37"/>
      <c r="I694" s="38"/>
      <c r="J694" s="21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 x14ac:dyDescent="0.25">
      <c r="A695" s="20"/>
      <c r="B695" s="33"/>
      <c r="C695" s="34"/>
      <c r="D695" s="21"/>
      <c r="E695" s="35"/>
      <c r="F695" s="20"/>
      <c r="G695" s="36"/>
      <c r="H695" s="37"/>
      <c r="I695" s="38"/>
      <c r="J695" s="21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 x14ac:dyDescent="0.25">
      <c r="A696" s="20"/>
      <c r="B696" s="33"/>
      <c r="C696" s="34"/>
      <c r="D696" s="21"/>
      <c r="E696" s="35"/>
      <c r="F696" s="20"/>
      <c r="G696" s="36"/>
      <c r="H696" s="37"/>
      <c r="I696" s="38"/>
      <c r="J696" s="21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 x14ac:dyDescent="0.25">
      <c r="A697" s="20"/>
      <c r="B697" s="33"/>
      <c r="C697" s="34"/>
      <c r="D697" s="21"/>
      <c r="E697" s="35"/>
      <c r="F697" s="20"/>
      <c r="G697" s="36"/>
      <c r="H697" s="37"/>
      <c r="I697" s="38"/>
      <c r="J697" s="21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 x14ac:dyDescent="0.25">
      <c r="A698" s="20"/>
      <c r="B698" s="33"/>
      <c r="C698" s="34"/>
      <c r="D698" s="21"/>
      <c r="E698" s="35"/>
      <c r="F698" s="20"/>
      <c r="G698" s="36"/>
      <c r="H698" s="37"/>
      <c r="I698" s="38"/>
      <c r="J698" s="21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 x14ac:dyDescent="0.25">
      <c r="A699" s="20"/>
      <c r="B699" s="33"/>
      <c r="C699" s="34"/>
      <c r="D699" s="21"/>
      <c r="E699" s="35"/>
      <c r="F699" s="20"/>
      <c r="G699" s="36"/>
      <c r="H699" s="37"/>
      <c r="I699" s="38"/>
      <c r="J699" s="21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</sheetData>
  <mergeCells count="111">
    <mergeCell ref="C155:C165"/>
    <mergeCell ref="G155:G165"/>
    <mergeCell ref="H155:H165"/>
    <mergeCell ref="I155:I165"/>
    <mergeCell ref="J155:J165"/>
    <mergeCell ref="G101:G103"/>
    <mergeCell ref="H101:H103"/>
    <mergeCell ref="I101:I103"/>
    <mergeCell ref="B106:B121"/>
    <mergeCell ref="C106:C121"/>
    <mergeCell ref="G106:G121"/>
    <mergeCell ref="H106:H121"/>
    <mergeCell ref="I106:I121"/>
    <mergeCell ref="B178:B187"/>
    <mergeCell ref="C178:C187"/>
    <mergeCell ref="G178:G187"/>
    <mergeCell ref="H178:H187"/>
    <mergeCell ref="I178:I187"/>
    <mergeCell ref="B122:B137"/>
    <mergeCell ref="C122:C137"/>
    <mergeCell ref="G122:G137"/>
    <mergeCell ref="H122:H137"/>
    <mergeCell ref="I122:I137"/>
    <mergeCell ref="B138:B154"/>
    <mergeCell ref="C138:C154"/>
    <mergeCell ref="G138:G154"/>
    <mergeCell ref="H138:H154"/>
    <mergeCell ref="I138:I154"/>
    <mergeCell ref="B155:B165"/>
    <mergeCell ref="J178:J187"/>
    <mergeCell ref="J77:J86"/>
    <mergeCell ref="C35:C46"/>
    <mergeCell ref="B35:B46"/>
    <mergeCell ref="H35:H46"/>
    <mergeCell ref="I35:I46"/>
    <mergeCell ref="B77:B86"/>
    <mergeCell ref="C77:C86"/>
    <mergeCell ref="G77:G86"/>
    <mergeCell ref="H77:H86"/>
    <mergeCell ref="I77:I86"/>
    <mergeCell ref="G35:G44"/>
    <mergeCell ref="J67:J76"/>
    <mergeCell ref="B57:B66"/>
    <mergeCell ref="C57:C66"/>
    <mergeCell ref="G57:G66"/>
    <mergeCell ref="H57:H66"/>
    <mergeCell ref="B88:B93"/>
    <mergeCell ref="C88:C93"/>
    <mergeCell ref="I57:I66"/>
    <mergeCell ref="J57:J66"/>
    <mergeCell ref="B67:B76"/>
    <mergeCell ref="C67:C76"/>
    <mergeCell ref="G67:G76"/>
    <mergeCell ref="H67:H76"/>
    <mergeCell ref="I67:I76"/>
    <mergeCell ref="C167:I167"/>
    <mergeCell ref="B168:B177"/>
    <mergeCell ref="C168:C177"/>
    <mergeCell ref="G168:G177"/>
    <mergeCell ref="H168:H177"/>
    <mergeCell ref="I168:I177"/>
    <mergeCell ref="J168:J177"/>
    <mergeCell ref="G88:G93"/>
    <mergeCell ref="H88:H93"/>
    <mergeCell ref="I88:I93"/>
    <mergeCell ref="B94:B100"/>
    <mergeCell ref="C94:C100"/>
    <mergeCell ref="G94:G100"/>
    <mergeCell ref="H94:H100"/>
    <mergeCell ref="I94:I100"/>
    <mergeCell ref="B101:B103"/>
    <mergeCell ref="C101:C103"/>
    <mergeCell ref="J88:J93"/>
    <mergeCell ref="J94:J100"/>
    <mergeCell ref="J101:J103"/>
    <mergeCell ref="J106:J121"/>
    <mergeCell ref="J122:J137"/>
    <mergeCell ref="B25:B34"/>
    <mergeCell ref="C25:C34"/>
    <mergeCell ref="G25:G34"/>
    <mergeCell ref="H25:H34"/>
    <mergeCell ref="I25:I34"/>
    <mergeCell ref="J25:J34"/>
    <mergeCell ref="J35:J44"/>
    <mergeCell ref="B47:B56"/>
    <mergeCell ref="C47:C56"/>
    <mergeCell ref="G47:G56"/>
    <mergeCell ref="J138:J154"/>
    <mergeCell ref="B6:I6"/>
    <mergeCell ref="C7:I7"/>
    <mergeCell ref="C8:I8"/>
    <mergeCell ref="C9:I9"/>
    <mergeCell ref="C10:I10"/>
    <mergeCell ref="B1:I1"/>
    <mergeCell ref="B2:I2"/>
    <mergeCell ref="B3:I3"/>
    <mergeCell ref="B4:I4"/>
    <mergeCell ref="B5:I5"/>
    <mergeCell ref="J10:K10"/>
    <mergeCell ref="B12:I12"/>
    <mergeCell ref="C13:I13"/>
    <mergeCell ref="B15:B24"/>
    <mergeCell ref="C15:C24"/>
    <mergeCell ref="G15:G24"/>
    <mergeCell ref="H15:H24"/>
    <mergeCell ref="I15:I24"/>
    <mergeCell ref="C11:I11"/>
    <mergeCell ref="H47:H56"/>
    <mergeCell ref="I47:I56"/>
    <mergeCell ref="J47:J56"/>
    <mergeCell ref="J15:J24"/>
  </mergeCells>
  <printOptions horizontalCentered="1"/>
  <pageMargins left="0.70866141732283472" right="0.51181102362204722" top="0.39370078740157483" bottom="0.56000000000000005" header="0" footer="0"/>
  <pageSetup paperSize="9" scale="49" fitToHeight="0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5EBB-E09B-4395-99B1-188E4463689E}">
  <dimension ref="D2:AL238"/>
  <sheetViews>
    <sheetView showGridLines="0" view="pageBreakPreview" topLeftCell="J204" zoomScaleNormal="100" zoomScaleSheetLayoutView="100" workbookViewId="0">
      <selection activeCell="X4" sqref="X4"/>
    </sheetView>
  </sheetViews>
  <sheetFormatPr defaultColWidth="9.140625" defaultRowHeight="15" x14ac:dyDescent="0.25"/>
  <cols>
    <col min="1" max="3" width="9.140625" style="6"/>
    <col min="4" max="4" width="6" style="6" bestFit="1" customWidth="1"/>
    <col min="5" max="7" width="9.140625" style="6"/>
    <col min="8" max="8" width="11" style="6" bestFit="1" customWidth="1"/>
    <col min="9" max="9" width="17.42578125" style="6" bestFit="1" customWidth="1"/>
    <col min="10" max="10" width="9.85546875" style="6" bestFit="1" customWidth="1"/>
    <col min="11" max="11" width="10.7109375" style="6" bestFit="1" customWidth="1"/>
    <col min="12" max="12" width="10.85546875" style="6" bestFit="1" customWidth="1"/>
    <col min="13" max="16" width="9.140625" style="6"/>
    <col min="17" max="17" width="17.42578125" style="6" customWidth="1"/>
    <col min="18" max="18" width="9.140625" style="6"/>
    <col min="19" max="19" width="13.7109375" style="6" bestFit="1" customWidth="1"/>
    <col min="20" max="20" width="9.140625" style="6"/>
    <col min="21" max="21" width="12.140625" style="6" customWidth="1"/>
    <col min="22" max="24" width="9.140625" style="6"/>
    <col min="25" max="25" width="16.28515625" style="6" customWidth="1"/>
    <col min="26" max="26" width="9.140625" style="6"/>
    <col min="27" max="27" width="13.7109375" style="6" bestFit="1" customWidth="1"/>
    <col min="28" max="28" width="9.140625" style="6"/>
    <col min="29" max="29" width="10.42578125" style="6" customWidth="1"/>
    <col min="30" max="32" width="9.140625" style="6"/>
    <col min="33" max="33" width="17.42578125" style="6" bestFit="1" customWidth="1"/>
    <col min="34" max="34" width="9.140625" style="6"/>
    <col min="35" max="35" width="13.7109375" style="6" bestFit="1" customWidth="1"/>
    <col min="36" max="36" width="9.140625" style="6"/>
    <col min="37" max="37" width="10.5703125" style="6" customWidth="1"/>
    <col min="38" max="16384" width="9.140625" style="6"/>
  </cols>
  <sheetData>
    <row r="2" spans="4:38" x14ac:dyDescent="0.25">
      <c r="D2" s="6">
        <v>66</v>
      </c>
    </row>
    <row r="3" spans="4:38" ht="30" x14ac:dyDescent="0.25">
      <c r="D3" s="6">
        <v>66</v>
      </c>
      <c r="P3" s="48"/>
      <c r="Q3" s="59" t="s">
        <v>70</v>
      </c>
      <c r="R3" s="50"/>
      <c r="S3" s="6" t="s">
        <v>56</v>
      </c>
      <c r="T3" s="43"/>
      <c r="U3" s="6" t="s">
        <v>49</v>
      </c>
    </row>
    <row r="4" spans="4:38" ht="30" x14ac:dyDescent="0.25">
      <c r="P4" s="47"/>
      <c r="Q4" s="59" t="s">
        <v>71</v>
      </c>
      <c r="R4" s="46"/>
      <c r="S4" s="6" t="s">
        <v>51</v>
      </c>
      <c r="T4" s="45"/>
      <c r="U4" s="6" t="s">
        <v>50</v>
      </c>
    </row>
    <row r="6" spans="4:38" x14ac:dyDescent="0.25">
      <c r="K6" s="63"/>
    </row>
    <row r="7" spans="4:38" x14ac:dyDescent="0.25">
      <c r="K7" s="64"/>
    </row>
    <row r="8" spans="4:38" x14ac:dyDescent="0.25">
      <c r="P8" s="192" t="s">
        <v>0</v>
      </c>
      <c r="Q8" s="192"/>
      <c r="R8" s="192"/>
      <c r="S8" s="192"/>
      <c r="T8" s="192"/>
      <c r="X8" s="192" t="s">
        <v>0</v>
      </c>
      <c r="Y8" s="192"/>
      <c r="Z8" s="192"/>
      <c r="AA8" s="192"/>
      <c r="AB8" s="192"/>
      <c r="AF8" s="192" t="s">
        <v>0</v>
      </c>
      <c r="AG8" s="192"/>
      <c r="AH8" s="192"/>
      <c r="AI8" s="192"/>
      <c r="AJ8" s="192"/>
    </row>
    <row r="10" spans="4:38" ht="45" x14ac:dyDescent="0.25">
      <c r="H10" s="6" t="s">
        <v>72</v>
      </c>
      <c r="I10" s="6" t="s">
        <v>73</v>
      </c>
      <c r="J10" s="6" t="s">
        <v>74</v>
      </c>
      <c r="K10" s="6" t="s">
        <v>75</v>
      </c>
      <c r="L10" s="6" t="s">
        <v>76</v>
      </c>
      <c r="P10" s="5" t="s">
        <v>1</v>
      </c>
      <c r="Q10" s="5" t="s">
        <v>2</v>
      </c>
      <c r="R10" s="5" t="s">
        <v>3</v>
      </c>
      <c r="S10" s="5" t="s">
        <v>4</v>
      </c>
      <c r="T10" s="5" t="s">
        <v>5</v>
      </c>
      <c r="U10" s="52" t="s">
        <v>57</v>
      </c>
      <c r="V10" s="52" t="s">
        <v>58</v>
      </c>
      <c r="X10" s="5" t="s">
        <v>1</v>
      </c>
      <c r="Y10" s="5" t="s">
        <v>2</v>
      </c>
      <c r="Z10" s="5" t="s">
        <v>3</v>
      </c>
      <c r="AA10" s="5" t="s">
        <v>4</v>
      </c>
      <c r="AB10" s="5" t="s">
        <v>5</v>
      </c>
      <c r="AC10" s="52" t="s">
        <v>57</v>
      </c>
      <c r="AD10" s="52" t="s">
        <v>58</v>
      </c>
      <c r="AF10" s="5" t="s">
        <v>1</v>
      </c>
      <c r="AG10" s="5" t="s">
        <v>2</v>
      </c>
      <c r="AH10" s="5" t="s">
        <v>3</v>
      </c>
      <c r="AI10" s="5" t="s">
        <v>4</v>
      </c>
      <c r="AJ10" s="5" t="s">
        <v>5</v>
      </c>
      <c r="AK10" s="52" t="s">
        <v>57</v>
      </c>
      <c r="AL10" s="52" t="s">
        <v>58</v>
      </c>
    </row>
    <row r="12" spans="4:38" x14ac:dyDescent="0.25">
      <c r="F12" s="6">
        <v>1</v>
      </c>
      <c r="G12" s="6">
        <v>1</v>
      </c>
      <c r="H12" s="6">
        <v>12</v>
      </c>
      <c r="I12" s="6" t="s">
        <v>77</v>
      </c>
      <c r="J12" s="6" t="s">
        <v>7</v>
      </c>
      <c r="K12" s="6">
        <v>2310</v>
      </c>
      <c r="L12" s="6">
        <v>2</v>
      </c>
      <c r="N12" s="6">
        <f t="shared" ref="N12:N75" si="0">L12*H12</f>
        <v>24</v>
      </c>
      <c r="O12" s="6" t="s">
        <v>59</v>
      </c>
      <c r="P12" s="40">
        <v>12</v>
      </c>
      <c r="Q12" s="40" t="s">
        <v>77</v>
      </c>
      <c r="R12" s="40" t="s">
        <v>7</v>
      </c>
      <c r="S12" s="40">
        <v>2310</v>
      </c>
      <c r="T12" s="40">
        <v>2</v>
      </c>
      <c r="U12" s="6">
        <f>P12*T12</f>
        <v>24</v>
      </c>
      <c r="V12" s="6">
        <f t="shared" ref="V12:V30" si="1">2*PI()*(0.00625)*P12*(S12/1000)</f>
        <v>1.0885618544688633</v>
      </c>
    </row>
    <row r="13" spans="4:38" x14ac:dyDescent="0.25">
      <c r="G13" s="6">
        <v>2</v>
      </c>
      <c r="H13" s="6">
        <v>2</v>
      </c>
      <c r="I13" s="6" t="s">
        <v>77</v>
      </c>
      <c r="J13" s="6" t="s">
        <v>7</v>
      </c>
      <c r="K13" s="6">
        <v>2330</v>
      </c>
      <c r="L13" s="6">
        <v>2</v>
      </c>
      <c r="N13" s="6">
        <f t="shared" si="0"/>
        <v>4</v>
      </c>
      <c r="O13" s="6" t="s">
        <v>59</v>
      </c>
      <c r="P13" s="40">
        <v>2</v>
      </c>
      <c r="Q13" s="40" t="s">
        <v>77</v>
      </c>
      <c r="R13" s="40" t="s">
        <v>7</v>
      </c>
      <c r="S13" s="40">
        <v>2330</v>
      </c>
      <c r="T13" s="40">
        <v>2</v>
      </c>
      <c r="U13" s="6">
        <f t="shared" ref="U13:U76" si="2">P13*T13</f>
        <v>4</v>
      </c>
      <c r="V13" s="6">
        <f t="shared" si="1"/>
        <v>0.18299777207160545</v>
      </c>
    </row>
    <row r="14" spans="4:38" x14ac:dyDescent="0.25">
      <c r="G14" s="6">
        <v>3</v>
      </c>
      <c r="H14" s="6">
        <v>2</v>
      </c>
      <c r="I14" s="6" t="s">
        <v>77</v>
      </c>
      <c r="J14" s="6" t="s">
        <v>7</v>
      </c>
      <c r="K14" s="6">
        <v>2340</v>
      </c>
      <c r="L14" s="6">
        <v>2</v>
      </c>
      <c r="N14" s="6">
        <f t="shared" si="0"/>
        <v>4</v>
      </c>
      <c r="O14" s="6" t="s">
        <v>59</v>
      </c>
      <c r="P14" s="40">
        <v>2</v>
      </c>
      <c r="Q14" s="40" t="s">
        <v>77</v>
      </c>
      <c r="R14" s="40" t="s">
        <v>7</v>
      </c>
      <c r="S14" s="40">
        <v>2340</v>
      </c>
      <c r="T14" s="40">
        <v>2</v>
      </c>
      <c r="U14" s="6">
        <f t="shared" si="2"/>
        <v>4</v>
      </c>
      <c r="V14" s="6">
        <f t="shared" si="1"/>
        <v>0.18378317023500287</v>
      </c>
    </row>
    <row r="15" spans="4:38" x14ac:dyDescent="0.25">
      <c r="G15" s="6">
        <v>4</v>
      </c>
      <c r="H15" s="6">
        <v>4</v>
      </c>
      <c r="I15" s="6" t="s">
        <v>77</v>
      </c>
      <c r="J15" s="6" t="s">
        <v>7</v>
      </c>
      <c r="K15" s="6">
        <v>2350</v>
      </c>
      <c r="L15" s="6">
        <v>2</v>
      </c>
      <c r="N15" s="6">
        <f t="shared" si="0"/>
        <v>8</v>
      </c>
      <c r="O15" s="6" t="s">
        <v>59</v>
      </c>
      <c r="P15" s="40">
        <v>4</v>
      </c>
      <c r="Q15" s="40" t="s">
        <v>77</v>
      </c>
      <c r="R15" s="40" t="s">
        <v>7</v>
      </c>
      <c r="S15" s="40">
        <v>2350</v>
      </c>
      <c r="T15" s="40">
        <v>2</v>
      </c>
      <c r="U15" s="6">
        <f t="shared" si="2"/>
        <v>8</v>
      </c>
      <c r="V15" s="6">
        <f t="shared" si="1"/>
        <v>0.36913713679680071</v>
      </c>
    </row>
    <row r="16" spans="4:38" x14ac:dyDescent="0.25">
      <c r="G16" s="6">
        <v>5</v>
      </c>
      <c r="H16" s="6">
        <v>4</v>
      </c>
      <c r="I16" s="6" t="s">
        <v>77</v>
      </c>
      <c r="J16" s="6" t="s">
        <v>7</v>
      </c>
      <c r="K16" s="6">
        <v>2410</v>
      </c>
      <c r="L16" s="6">
        <v>2</v>
      </c>
      <c r="N16" s="6">
        <f t="shared" si="0"/>
        <v>8</v>
      </c>
      <c r="O16" s="6" t="s">
        <v>59</v>
      </c>
      <c r="P16" s="40">
        <v>4</v>
      </c>
      <c r="Q16" s="40" t="s">
        <v>77</v>
      </c>
      <c r="R16" s="40" t="s">
        <v>7</v>
      </c>
      <c r="S16" s="40">
        <v>2410</v>
      </c>
      <c r="T16" s="40">
        <v>2</v>
      </c>
      <c r="U16" s="6">
        <f t="shared" si="2"/>
        <v>8</v>
      </c>
      <c r="V16" s="6">
        <f t="shared" si="1"/>
        <v>0.37856191475757012</v>
      </c>
    </row>
    <row r="17" spans="7:22" x14ac:dyDescent="0.25">
      <c r="G17" s="6">
        <v>6</v>
      </c>
      <c r="H17" s="6">
        <v>8</v>
      </c>
      <c r="I17" s="6" t="s">
        <v>77</v>
      </c>
      <c r="J17" s="6" t="s">
        <v>7</v>
      </c>
      <c r="K17" s="6">
        <v>2420</v>
      </c>
      <c r="L17" s="6">
        <v>2</v>
      </c>
      <c r="N17" s="6">
        <f t="shared" si="0"/>
        <v>16</v>
      </c>
      <c r="O17" s="6" t="s">
        <v>59</v>
      </c>
      <c r="P17" s="40">
        <v>8</v>
      </c>
      <c r="Q17" s="40" t="s">
        <v>77</v>
      </c>
      <c r="R17" s="40" t="s">
        <v>7</v>
      </c>
      <c r="S17" s="40">
        <v>2420</v>
      </c>
      <c r="T17" s="40">
        <v>2</v>
      </c>
      <c r="U17" s="6">
        <f t="shared" si="2"/>
        <v>16</v>
      </c>
      <c r="V17" s="6">
        <f t="shared" si="1"/>
        <v>0.76026542216872994</v>
      </c>
    </row>
    <row r="18" spans="7:22" x14ac:dyDescent="0.25">
      <c r="G18" s="6">
        <v>7</v>
      </c>
      <c r="H18" s="6">
        <v>2</v>
      </c>
      <c r="I18" s="6" t="s">
        <v>77</v>
      </c>
      <c r="J18" s="6" t="s">
        <v>7</v>
      </c>
      <c r="K18" s="6">
        <v>2440</v>
      </c>
      <c r="L18" s="6">
        <v>2</v>
      </c>
      <c r="N18" s="6">
        <f t="shared" si="0"/>
        <v>4</v>
      </c>
      <c r="O18" s="6" t="s">
        <v>59</v>
      </c>
      <c r="P18" s="40">
        <v>2</v>
      </c>
      <c r="Q18" s="40" t="s">
        <v>77</v>
      </c>
      <c r="R18" s="40" t="s">
        <v>7</v>
      </c>
      <c r="S18" s="40">
        <v>2440</v>
      </c>
      <c r="T18" s="40">
        <v>2</v>
      </c>
      <c r="U18" s="6">
        <f t="shared" si="2"/>
        <v>4</v>
      </c>
      <c r="V18" s="6">
        <f t="shared" si="1"/>
        <v>0.19163715186897737</v>
      </c>
    </row>
    <row r="19" spans="7:22" x14ac:dyDescent="0.25">
      <c r="G19" s="6">
        <v>8</v>
      </c>
      <c r="H19" s="6">
        <v>4</v>
      </c>
      <c r="I19" s="6" t="s">
        <v>77</v>
      </c>
      <c r="J19" s="6" t="s">
        <v>7</v>
      </c>
      <c r="K19" s="6">
        <v>2480</v>
      </c>
      <c r="L19" s="6">
        <v>2</v>
      </c>
      <c r="N19" s="6">
        <f t="shared" si="0"/>
        <v>8</v>
      </c>
      <c r="O19" s="6" t="s">
        <v>59</v>
      </c>
      <c r="P19" s="40">
        <v>4</v>
      </c>
      <c r="Q19" s="40" t="s">
        <v>77</v>
      </c>
      <c r="R19" s="40" t="s">
        <v>7</v>
      </c>
      <c r="S19" s="40">
        <v>2480</v>
      </c>
      <c r="T19" s="40">
        <v>2</v>
      </c>
      <c r="U19" s="6">
        <f t="shared" si="2"/>
        <v>8</v>
      </c>
      <c r="V19" s="6">
        <f t="shared" si="1"/>
        <v>0.38955748904513432</v>
      </c>
    </row>
    <row r="20" spans="7:22" x14ac:dyDescent="0.25">
      <c r="G20" s="6">
        <v>9</v>
      </c>
      <c r="H20" s="6">
        <v>12</v>
      </c>
      <c r="I20" s="6" t="s">
        <v>77</v>
      </c>
      <c r="J20" s="6" t="s">
        <v>7</v>
      </c>
      <c r="K20" s="6">
        <v>2530</v>
      </c>
      <c r="L20" s="6">
        <v>2</v>
      </c>
      <c r="N20" s="6">
        <f t="shared" si="0"/>
        <v>24</v>
      </c>
      <c r="O20" s="6" t="s">
        <v>59</v>
      </c>
      <c r="P20" s="40">
        <v>12</v>
      </c>
      <c r="Q20" s="40" t="s">
        <v>77</v>
      </c>
      <c r="R20" s="40" t="s">
        <v>7</v>
      </c>
      <c r="S20" s="40">
        <v>2530</v>
      </c>
      <c r="T20" s="40">
        <v>2</v>
      </c>
      <c r="U20" s="6">
        <f t="shared" si="2"/>
        <v>24</v>
      </c>
      <c r="V20" s="6">
        <f t="shared" si="1"/>
        <v>1.1922344120373265</v>
      </c>
    </row>
    <row r="21" spans="7:22" x14ac:dyDescent="0.25">
      <c r="G21" s="6">
        <v>10</v>
      </c>
      <c r="H21" s="6">
        <v>6</v>
      </c>
      <c r="I21" s="6" t="s">
        <v>77</v>
      </c>
      <c r="J21" s="6" t="s">
        <v>7</v>
      </c>
      <c r="K21" s="6">
        <v>2570</v>
      </c>
      <c r="L21" s="6">
        <v>2</v>
      </c>
      <c r="N21" s="6">
        <f t="shared" si="0"/>
        <v>12</v>
      </c>
      <c r="O21" s="6" t="s">
        <v>59</v>
      </c>
      <c r="P21" s="40">
        <v>6</v>
      </c>
      <c r="Q21" s="40" t="s">
        <v>77</v>
      </c>
      <c r="R21" s="40" t="s">
        <v>7</v>
      </c>
      <c r="S21" s="40">
        <v>2570</v>
      </c>
      <c r="T21" s="40">
        <v>2</v>
      </c>
      <c r="U21" s="6">
        <f t="shared" si="2"/>
        <v>12</v>
      </c>
      <c r="V21" s="6">
        <f t="shared" si="1"/>
        <v>0.6055419839794326</v>
      </c>
    </row>
    <row r="22" spans="7:22" x14ac:dyDescent="0.25">
      <c r="G22" s="6">
        <v>11</v>
      </c>
      <c r="H22" s="6">
        <v>20</v>
      </c>
      <c r="I22" s="6" t="s">
        <v>77</v>
      </c>
      <c r="J22" s="6" t="s">
        <v>7</v>
      </c>
      <c r="K22" s="6">
        <v>2600</v>
      </c>
      <c r="L22" s="6">
        <v>2</v>
      </c>
      <c r="N22" s="6">
        <f t="shared" si="0"/>
        <v>40</v>
      </c>
      <c r="O22" s="6" t="s">
        <v>59</v>
      </c>
      <c r="P22" s="40">
        <v>20</v>
      </c>
      <c r="Q22" s="40" t="s">
        <v>77</v>
      </c>
      <c r="R22" s="40" t="s">
        <v>7</v>
      </c>
      <c r="S22" s="40">
        <v>2600</v>
      </c>
      <c r="T22" s="40">
        <v>2</v>
      </c>
      <c r="U22" s="6">
        <f t="shared" si="2"/>
        <v>40</v>
      </c>
      <c r="V22" s="6">
        <f t="shared" si="1"/>
        <v>2.0420352248333655</v>
      </c>
    </row>
    <row r="23" spans="7:22" x14ac:dyDescent="0.25">
      <c r="G23" s="6">
        <v>12</v>
      </c>
      <c r="H23" s="6">
        <v>10</v>
      </c>
      <c r="I23" s="6" t="s">
        <v>77</v>
      </c>
      <c r="J23" s="6" t="s">
        <v>7</v>
      </c>
      <c r="K23" s="6">
        <v>2870</v>
      </c>
      <c r="L23" s="6">
        <v>2</v>
      </c>
      <c r="N23" s="6">
        <f t="shared" si="0"/>
        <v>20</v>
      </c>
      <c r="O23" s="6" t="s">
        <v>59</v>
      </c>
      <c r="P23" s="40">
        <v>10</v>
      </c>
      <c r="Q23" s="40" t="s">
        <v>77</v>
      </c>
      <c r="R23" s="40" t="s">
        <v>7</v>
      </c>
      <c r="S23" s="40">
        <v>2870</v>
      </c>
      <c r="T23" s="40">
        <v>2</v>
      </c>
      <c r="U23" s="6">
        <f t="shared" si="2"/>
        <v>20</v>
      </c>
      <c r="V23" s="6">
        <f t="shared" si="1"/>
        <v>1.1270463644753383</v>
      </c>
    </row>
    <row r="24" spans="7:22" x14ac:dyDescent="0.25">
      <c r="G24" s="6">
        <v>13</v>
      </c>
      <c r="H24" s="6">
        <v>5</v>
      </c>
      <c r="I24" s="6" t="s">
        <v>77</v>
      </c>
      <c r="J24" s="6" t="s">
        <v>7</v>
      </c>
      <c r="K24" s="6">
        <v>2920</v>
      </c>
      <c r="L24" s="6">
        <v>2</v>
      </c>
      <c r="N24" s="6">
        <f t="shared" si="0"/>
        <v>10</v>
      </c>
      <c r="O24" s="6" t="s">
        <v>59</v>
      </c>
      <c r="P24" s="40">
        <v>5</v>
      </c>
      <c r="Q24" s="40" t="s">
        <v>77</v>
      </c>
      <c r="R24" s="40" t="s">
        <v>7</v>
      </c>
      <c r="S24" s="40">
        <v>2920</v>
      </c>
      <c r="T24" s="40">
        <v>2</v>
      </c>
      <c r="U24" s="6">
        <f t="shared" si="2"/>
        <v>10</v>
      </c>
      <c r="V24" s="6">
        <f t="shared" si="1"/>
        <v>0.57334065928013722</v>
      </c>
    </row>
    <row r="25" spans="7:22" x14ac:dyDescent="0.25">
      <c r="G25" s="6">
        <v>14</v>
      </c>
      <c r="H25" s="6">
        <v>24</v>
      </c>
      <c r="I25" s="6" t="s">
        <v>77</v>
      </c>
      <c r="J25" s="6" t="s">
        <v>7</v>
      </c>
      <c r="K25" s="6">
        <v>2990</v>
      </c>
      <c r="L25" s="6">
        <v>2</v>
      </c>
      <c r="N25" s="6">
        <f t="shared" si="0"/>
        <v>48</v>
      </c>
      <c r="O25" s="6" t="s">
        <v>59</v>
      </c>
      <c r="P25" s="40">
        <v>24</v>
      </c>
      <c r="Q25" s="40" t="s">
        <v>77</v>
      </c>
      <c r="R25" s="40" t="s">
        <v>7</v>
      </c>
      <c r="S25" s="40">
        <v>2990</v>
      </c>
      <c r="T25" s="40">
        <v>2</v>
      </c>
      <c r="U25" s="6">
        <f t="shared" si="2"/>
        <v>48</v>
      </c>
      <c r="V25" s="6">
        <f t="shared" si="1"/>
        <v>2.8180086102700446</v>
      </c>
    </row>
    <row r="26" spans="7:22" x14ac:dyDescent="0.25">
      <c r="G26" s="6">
        <v>15</v>
      </c>
      <c r="H26" s="6">
        <v>6</v>
      </c>
      <c r="I26" s="6" t="s">
        <v>78</v>
      </c>
      <c r="J26" s="6" t="s">
        <v>7</v>
      </c>
      <c r="K26" s="6">
        <v>3030</v>
      </c>
      <c r="L26" s="6">
        <v>2</v>
      </c>
      <c r="N26" s="6">
        <f t="shared" si="0"/>
        <v>12</v>
      </c>
      <c r="O26" s="6" t="s">
        <v>59</v>
      </c>
      <c r="P26" s="40">
        <v>6</v>
      </c>
      <c r="Q26" s="40" t="s">
        <v>78</v>
      </c>
      <c r="R26" s="40" t="s">
        <v>7</v>
      </c>
      <c r="S26" s="40">
        <v>3030</v>
      </c>
      <c r="T26" s="40">
        <v>2</v>
      </c>
      <c r="U26" s="6">
        <f t="shared" si="2"/>
        <v>12</v>
      </c>
      <c r="V26" s="6">
        <f t="shared" si="1"/>
        <v>0.71392693052828049</v>
      </c>
    </row>
    <row r="27" spans="7:22" x14ac:dyDescent="0.25">
      <c r="G27" s="6">
        <v>16</v>
      </c>
      <c r="H27" s="6">
        <v>2</v>
      </c>
      <c r="I27" s="6" t="s">
        <v>77</v>
      </c>
      <c r="J27" s="6" t="s">
        <v>7</v>
      </c>
      <c r="K27" s="6">
        <v>3210</v>
      </c>
      <c r="L27" s="6">
        <v>3</v>
      </c>
      <c r="N27" s="6">
        <f t="shared" si="0"/>
        <v>6</v>
      </c>
      <c r="O27" s="6" t="s">
        <v>59</v>
      </c>
      <c r="P27" s="40">
        <v>2</v>
      </c>
      <c r="Q27" s="40" t="s">
        <v>77</v>
      </c>
      <c r="R27" s="40" t="s">
        <v>7</v>
      </c>
      <c r="S27" s="40">
        <v>3210</v>
      </c>
      <c r="T27" s="40">
        <v>3</v>
      </c>
      <c r="U27" s="6">
        <f t="shared" si="2"/>
        <v>6</v>
      </c>
      <c r="V27" s="6">
        <f t="shared" si="1"/>
        <v>0.25211281045058087</v>
      </c>
    </row>
    <row r="28" spans="7:22" x14ac:dyDescent="0.25">
      <c r="G28" s="6">
        <v>17</v>
      </c>
      <c r="H28" s="6">
        <v>1</v>
      </c>
      <c r="I28" s="6" t="s">
        <v>77</v>
      </c>
      <c r="J28" s="6" t="s">
        <v>7</v>
      </c>
      <c r="K28" s="6">
        <v>3400</v>
      </c>
      <c r="L28" s="6">
        <v>3</v>
      </c>
      <c r="N28" s="6">
        <f t="shared" si="0"/>
        <v>3</v>
      </c>
      <c r="O28" s="6" t="s">
        <v>59</v>
      </c>
      <c r="P28" s="40">
        <v>1</v>
      </c>
      <c r="Q28" s="40" t="s">
        <v>77</v>
      </c>
      <c r="R28" s="40" t="s">
        <v>7</v>
      </c>
      <c r="S28" s="40">
        <v>3400</v>
      </c>
      <c r="T28" s="40">
        <v>3</v>
      </c>
      <c r="U28" s="6">
        <f t="shared" si="2"/>
        <v>3</v>
      </c>
      <c r="V28" s="6">
        <f t="shared" si="1"/>
        <v>0.1335176877775662</v>
      </c>
    </row>
    <row r="29" spans="7:22" x14ac:dyDescent="0.25">
      <c r="G29" s="6">
        <v>18</v>
      </c>
      <c r="H29" s="6">
        <v>26</v>
      </c>
      <c r="I29" s="6" t="s">
        <v>77</v>
      </c>
      <c r="J29" s="6" t="s">
        <v>7</v>
      </c>
      <c r="K29" s="6">
        <v>5230</v>
      </c>
      <c r="L29" s="6">
        <v>4</v>
      </c>
      <c r="N29" s="6">
        <f t="shared" si="0"/>
        <v>104</v>
      </c>
      <c r="O29" s="6" t="s">
        <v>59</v>
      </c>
      <c r="P29" s="40">
        <v>26</v>
      </c>
      <c r="Q29" s="40" t="s">
        <v>77</v>
      </c>
      <c r="R29" s="40" t="s">
        <v>7</v>
      </c>
      <c r="S29" s="40">
        <v>5230</v>
      </c>
      <c r="T29" s="40">
        <v>4</v>
      </c>
      <c r="U29" s="6">
        <f t="shared" si="2"/>
        <v>104</v>
      </c>
      <c r="V29" s="6">
        <f t="shared" si="1"/>
        <v>5.3399221129392513</v>
      </c>
    </row>
    <row r="30" spans="7:22" x14ac:dyDescent="0.25">
      <c r="G30" s="6">
        <v>19</v>
      </c>
      <c r="H30" s="6">
        <v>8</v>
      </c>
      <c r="I30" s="6" t="s">
        <v>77</v>
      </c>
      <c r="J30" s="6" t="s">
        <v>7</v>
      </c>
      <c r="K30" s="6">
        <v>5480</v>
      </c>
      <c r="L30" s="6">
        <v>4</v>
      </c>
      <c r="N30" s="6">
        <f t="shared" si="0"/>
        <v>32</v>
      </c>
      <c r="O30" s="6" t="s">
        <v>59</v>
      </c>
      <c r="P30" s="40">
        <v>8</v>
      </c>
      <c r="Q30" s="40" t="s">
        <v>77</v>
      </c>
      <c r="R30" s="40" t="s">
        <v>7</v>
      </c>
      <c r="S30" s="40">
        <v>5480</v>
      </c>
      <c r="T30" s="40">
        <v>4</v>
      </c>
      <c r="U30" s="6">
        <f t="shared" si="2"/>
        <v>32</v>
      </c>
      <c r="V30" s="6">
        <f t="shared" si="1"/>
        <v>1.7215927741672068</v>
      </c>
    </row>
    <row r="31" spans="7:22" x14ac:dyDescent="0.25">
      <c r="G31" s="6">
        <v>20</v>
      </c>
      <c r="H31" s="6">
        <v>62</v>
      </c>
      <c r="I31" s="6" t="s">
        <v>8</v>
      </c>
      <c r="J31" s="6" t="s">
        <v>7</v>
      </c>
      <c r="K31" s="6">
        <v>850</v>
      </c>
      <c r="L31" s="6">
        <v>2</v>
      </c>
      <c r="N31" s="6">
        <f t="shared" si="0"/>
        <v>124</v>
      </c>
      <c r="O31" s="6" t="s">
        <v>68</v>
      </c>
      <c r="P31" s="39">
        <v>62</v>
      </c>
      <c r="Q31" s="39" t="s">
        <v>8</v>
      </c>
      <c r="R31" s="39" t="s">
        <v>7</v>
      </c>
      <c r="S31" s="39">
        <v>850</v>
      </c>
      <c r="T31" s="39">
        <v>2</v>
      </c>
      <c r="U31" s="6">
        <f t="shared" si="2"/>
        <v>124</v>
      </c>
      <c r="V31" s="6">
        <f>(0.044+0.044+0.003+0.003+0.041+0.041)*(S31/1000)*P31</f>
        <v>9.2751999999999999</v>
      </c>
    </row>
    <row r="32" spans="7:22" x14ac:dyDescent="0.25">
      <c r="G32" s="6">
        <v>21</v>
      </c>
      <c r="H32" s="6">
        <v>62</v>
      </c>
      <c r="I32" s="6" t="s">
        <v>8</v>
      </c>
      <c r="J32" s="6" t="s">
        <v>7</v>
      </c>
      <c r="K32" s="6">
        <v>1010</v>
      </c>
      <c r="L32" s="6">
        <v>2</v>
      </c>
      <c r="N32" s="6">
        <f t="shared" si="0"/>
        <v>124</v>
      </c>
      <c r="O32" s="6" t="s">
        <v>68</v>
      </c>
      <c r="P32" s="39">
        <v>62</v>
      </c>
      <c r="Q32" s="39" t="s">
        <v>8</v>
      </c>
      <c r="R32" s="39" t="s">
        <v>7</v>
      </c>
      <c r="S32" s="39">
        <v>1010</v>
      </c>
      <c r="T32" s="39">
        <v>2</v>
      </c>
      <c r="U32" s="6">
        <f t="shared" si="2"/>
        <v>124</v>
      </c>
      <c r="V32" s="6">
        <f>(0.044+0.044+0.003+0.003+0.041+0.041)*(S32/1000)*P32</f>
        <v>11.021120000000002</v>
      </c>
    </row>
    <row r="33" spans="7:22" x14ac:dyDescent="0.25">
      <c r="G33" s="6">
        <v>22</v>
      </c>
      <c r="H33" s="6">
        <v>50</v>
      </c>
      <c r="I33" s="6" t="s">
        <v>8</v>
      </c>
      <c r="J33" s="6" t="s">
        <v>7</v>
      </c>
      <c r="K33" s="6">
        <v>1170</v>
      </c>
      <c r="L33" s="6">
        <v>2</v>
      </c>
      <c r="N33" s="6">
        <f t="shared" si="0"/>
        <v>100</v>
      </c>
      <c r="O33" s="6" t="s">
        <v>68</v>
      </c>
      <c r="P33" s="39">
        <v>50</v>
      </c>
      <c r="Q33" s="39" t="s">
        <v>8</v>
      </c>
      <c r="R33" s="39" t="s">
        <v>7</v>
      </c>
      <c r="S33" s="39">
        <v>1170</v>
      </c>
      <c r="T33" s="39">
        <v>2</v>
      </c>
      <c r="U33" s="6">
        <f t="shared" si="2"/>
        <v>100</v>
      </c>
      <c r="V33" s="6">
        <f>(0.044+0.044+0.003+0.003+0.041+0.041)*(S33/1000)*P33</f>
        <v>10.296000000000001</v>
      </c>
    </row>
    <row r="34" spans="7:22" x14ac:dyDescent="0.25">
      <c r="G34" s="6">
        <v>23</v>
      </c>
      <c r="H34" s="6">
        <v>12</v>
      </c>
      <c r="I34" s="6" t="s">
        <v>8</v>
      </c>
      <c r="J34" s="6" t="s">
        <v>7</v>
      </c>
      <c r="K34" s="6">
        <v>1200</v>
      </c>
      <c r="L34" s="6">
        <v>2</v>
      </c>
      <c r="N34" s="6">
        <f t="shared" si="0"/>
        <v>24</v>
      </c>
      <c r="O34" s="6" t="s">
        <v>68</v>
      </c>
      <c r="P34" s="39">
        <v>12</v>
      </c>
      <c r="Q34" s="39" t="s">
        <v>8</v>
      </c>
      <c r="R34" s="39" t="s">
        <v>7</v>
      </c>
      <c r="S34" s="39">
        <v>1200</v>
      </c>
      <c r="T34" s="39">
        <v>2</v>
      </c>
      <c r="U34" s="6">
        <f t="shared" si="2"/>
        <v>24</v>
      </c>
      <c r="V34" s="6">
        <f>(0.044+0.044+0.003+0.003+0.041+0.041)*(S34/1000)*P34</f>
        <v>2.5344000000000002</v>
      </c>
    </row>
    <row r="35" spans="7:22" x14ac:dyDescent="0.25">
      <c r="G35" s="6">
        <v>24</v>
      </c>
      <c r="H35" s="6">
        <v>52</v>
      </c>
      <c r="I35" s="6" t="s">
        <v>9</v>
      </c>
      <c r="J35" s="6" t="s">
        <v>7</v>
      </c>
      <c r="K35" s="6">
        <v>540</v>
      </c>
      <c r="L35" s="6">
        <v>2</v>
      </c>
      <c r="N35" s="6">
        <f t="shared" si="0"/>
        <v>104</v>
      </c>
      <c r="O35" s="6" t="s">
        <v>60</v>
      </c>
      <c r="P35" s="53">
        <v>52</v>
      </c>
      <c r="Q35" s="53" t="s">
        <v>9</v>
      </c>
      <c r="R35" s="53" t="s">
        <v>7</v>
      </c>
      <c r="S35" s="53">
        <v>540</v>
      </c>
      <c r="T35" s="53">
        <v>2</v>
      </c>
      <c r="U35" s="6">
        <f t="shared" si="2"/>
        <v>104</v>
      </c>
      <c r="V35" s="6">
        <f t="shared" ref="V35:V78" si="3">(0.137+0.05+0.05+0.002+0.002+0.048+0.048+0.132)*(S35/1000)*P35</f>
        <v>13.169519999999999</v>
      </c>
    </row>
    <row r="36" spans="7:22" x14ac:dyDescent="0.25">
      <c r="G36" s="6">
        <v>25</v>
      </c>
      <c r="H36" s="6">
        <v>54</v>
      </c>
      <c r="I36" s="6" t="s">
        <v>9</v>
      </c>
      <c r="J36" s="6" t="s">
        <v>7</v>
      </c>
      <c r="K36" s="6">
        <v>600</v>
      </c>
      <c r="L36" s="6">
        <v>2</v>
      </c>
      <c r="N36" s="6">
        <f t="shared" si="0"/>
        <v>108</v>
      </c>
      <c r="O36" s="6" t="s">
        <v>60</v>
      </c>
      <c r="P36" s="53">
        <v>54</v>
      </c>
      <c r="Q36" s="53" t="s">
        <v>9</v>
      </c>
      <c r="R36" s="53" t="s">
        <v>7</v>
      </c>
      <c r="S36" s="53">
        <v>600</v>
      </c>
      <c r="T36" s="53">
        <v>2</v>
      </c>
      <c r="U36" s="6">
        <f t="shared" si="2"/>
        <v>108</v>
      </c>
      <c r="V36" s="6">
        <f t="shared" si="3"/>
        <v>15.195599999999999</v>
      </c>
    </row>
    <row r="37" spans="7:22" x14ac:dyDescent="0.25">
      <c r="G37" s="6">
        <v>26</v>
      </c>
      <c r="H37" s="6">
        <v>1</v>
      </c>
      <c r="I37" s="6" t="s">
        <v>9</v>
      </c>
      <c r="J37" s="6" t="s">
        <v>7</v>
      </c>
      <c r="K37" s="6">
        <v>620</v>
      </c>
      <c r="L37" s="6">
        <v>2</v>
      </c>
      <c r="N37" s="6">
        <f t="shared" si="0"/>
        <v>2</v>
      </c>
      <c r="O37" s="6" t="s">
        <v>60</v>
      </c>
      <c r="P37" s="53">
        <v>1</v>
      </c>
      <c r="Q37" s="53" t="s">
        <v>9</v>
      </c>
      <c r="R37" s="53" t="s">
        <v>7</v>
      </c>
      <c r="S37" s="53">
        <v>620</v>
      </c>
      <c r="T37" s="53">
        <v>2</v>
      </c>
      <c r="U37" s="6">
        <f t="shared" si="2"/>
        <v>2</v>
      </c>
      <c r="V37" s="6">
        <f t="shared" si="3"/>
        <v>0.29077999999999998</v>
      </c>
    </row>
    <row r="38" spans="7:22" x14ac:dyDescent="0.25">
      <c r="G38" s="6">
        <v>27</v>
      </c>
      <c r="H38" s="6">
        <v>80</v>
      </c>
      <c r="I38" s="6" t="s">
        <v>9</v>
      </c>
      <c r="J38" s="6" t="s">
        <v>7</v>
      </c>
      <c r="K38" s="6">
        <v>660</v>
      </c>
      <c r="L38" s="6">
        <v>2</v>
      </c>
      <c r="N38" s="6">
        <f t="shared" si="0"/>
        <v>160</v>
      </c>
      <c r="O38" s="6" t="s">
        <v>60</v>
      </c>
      <c r="P38" s="53">
        <v>80</v>
      </c>
      <c r="Q38" s="53" t="s">
        <v>9</v>
      </c>
      <c r="R38" s="53" t="s">
        <v>7</v>
      </c>
      <c r="S38" s="53">
        <v>660</v>
      </c>
      <c r="T38" s="53">
        <v>2</v>
      </c>
      <c r="U38" s="6">
        <f t="shared" si="2"/>
        <v>160</v>
      </c>
      <c r="V38" s="6">
        <f t="shared" si="3"/>
        <v>24.763199999999998</v>
      </c>
    </row>
    <row r="39" spans="7:22" x14ac:dyDescent="0.25">
      <c r="G39" s="6">
        <v>28</v>
      </c>
      <c r="H39" s="6">
        <v>1</v>
      </c>
      <c r="I39" s="6" t="s">
        <v>9</v>
      </c>
      <c r="J39" s="6" t="s">
        <v>7</v>
      </c>
      <c r="K39" s="6">
        <v>670</v>
      </c>
      <c r="L39" s="6">
        <v>2</v>
      </c>
      <c r="N39" s="6">
        <f t="shared" si="0"/>
        <v>2</v>
      </c>
      <c r="O39" s="6" t="s">
        <v>60</v>
      </c>
      <c r="P39" s="53">
        <v>1</v>
      </c>
      <c r="Q39" s="53" t="s">
        <v>9</v>
      </c>
      <c r="R39" s="53" t="s">
        <v>7</v>
      </c>
      <c r="S39" s="53">
        <v>670</v>
      </c>
      <c r="T39" s="53">
        <v>2</v>
      </c>
      <c r="U39" s="6">
        <f t="shared" si="2"/>
        <v>2</v>
      </c>
      <c r="V39" s="6">
        <f t="shared" si="3"/>
        <v>0.31423000000000001</v>
      </c>
    </row>
    <row r="40" spans="7:22" x14ac:dyDescent="0.25">
      <c r="G40" s="6">
        <v>29</v>
      </c>
      <c r="H40" s="6">
        <v>1</v>
      </c>
      <c r="I40" s="6" t="s">
        <v>9</v>
      </c>
      <c r="J40" s="6" t="s">
        <v>7</v>
      </c>
      <c r="K40" s="6">
        <v>680</v>
      </c>
      <c r="L40" s="6">
        <v>2</v>
      </c>
      <c r="N40" s="6">
        <f t="shared" si="0"/>
        <v>2</v>
      </c>
      <c r="O40" s="6" t="s">
        <v>60</v>
      </c>
      <c r="P40" s="53">
        <v>1</v>
      </c>
      <c r="Q40" s="53" t="s">
        <v>9</v>
      </c>
      <c r="R40" s="53" t="s">
        <v>7</v>
      </c>
      <c r="S40" s="53">
        <v>680</v>
      </c>
      <c r="T40" s="53">
        <v>2</v>
      </c>
      <c r="U40" s="6">
        <f t="shared" si="2"/>
        <v>2</v>
      </c>
      <c r="V40" s="6">
        <f t="shared" si="3"/>
        <v>0.31891999999999998</v>
      </c>
    </row>
    <row r="41" spans="7:22" x14ac:dyDescent="0.25">
      <c r="G41" s="6">
        <v>30</v>
      </c>
      <c r="H41" s="6">
        <v>34</v>
      </c>
      <c r="I41" s="6" t="s">
        <v>9</v>
      </c>
      <c r="J41" s="6" t="s">
        <v>7</v>
      </c>
      <c r="K41" s="6">
        <v>720</v>
      </c>
      <c r="L41" s="6">
        <v>3</v>
      </c>
      <c r="N41" s="6">
        <f t="shared" si="0"/>
        <v>102</v>
      </c>
      <c r="O41" s="6" t="s">
        <v>60</v>
      </c>
      <c r="P41" s="53">
        <v>34</v>
      </c>
      <c r="Q41" s="53" t="s">
        <v>9</v>
      </c>
      <c r="R41" s="53" t="s">
        <v>7</v>
      </c>
      <c r="S41" s="53">
        <v>720</v>
      </c>
      <c r="T41" s="53">
        <v>3</v>
      </c>
      <c r="U41" s="6">
        <f t="shared" si="2"/>
        <v>102</v>
      </c>
      <c r="V41" s="6">
        <f t="shared" si="3"/>
        <v>11.481119999999999</v>
      </c>
    </row>
    <row r="42" spans="7:22" x14ac:dyDescent="0.25">
      <c r="G42" s="6">
        <v>31</v>
      </c>
      <c r="H42" s="6">
        <v>1</v>
      </c>
      <c r="I42" s="6" t="s">
        <v>9</v>
      </c>
      <c r="J42" s="6" t="s">
        <v>7</v>
      </c>
      <c r="K42" s="6">
        <v>730</v>
      </c>
      <c r="L42" s="6">
        <v>3</v>
      </c>
      <c r="N42" s="6">
        <f t="shared" si="0"/>
        <v>3</v>
      </c>
      <c r="O42" s="6" t="s">
        <v>60</v>
      </c>
      <c r="P42" s="53">
        <v>1</v>
      </c>
      <c r="Q42" s="53" t="s">
        <v>9</v>
      </c>
      <c r="R42" s="53" t="s">
        <v>7</v>
      </c>
      <c r="S42" s="53">
        <v>730</v>
      </c>
      <c r="T42" s="53">
        <v>3</v>
      </c>
      <c r="U42" s="6">
        <f t="shared" si="2"/>
        <v>3</v>
      </c>
      <c r="V42" s="6">
        <f t="shared" si="3"/>
        <v>0.34236999999999995</v>
      </c>
    </row>
    <row r="43" spans="7:22" x14ac:dyDescent="0.25">
      <c r="G43" s="6">
        <v>32</v>
      </c>
      <c r="H43" s="6">
        <v>8</v>
      </c>
      <c r="I43" s="6" t="s">
        <v>9</v>
      </c>
      <c r="J43" s="6" t="s">
        <v>7</v>
      </c>
      <c r="K43" s="6">
        <v>740</v>
      </c>
      <c r="L43" s="6">
        <v>3</v>
      </c>
      <c r="N43" s="6">
        <f t="shared" si="0"/>
        <v>24</v>
      </c>
      <c r="O43" s="6" t="s">
        <v>60</v>
      </c>
      <c r="P43" s="53">
        <v>8</v>
      </c>
      <c r="Q43" s="53" t="s">
        <v>9</v>
      </c>
      <c r="R43" s="53" t="s">
        <v>7</v>
      </c>
      <c r="S43" s="53">
        <v>740</v>
      </c>
      <c r="T43" s="53">
        <v>3</v>
      </c>
      <c r="U43" s="6">
        <f t="shared" si="2"/>
        <v>24</v>
      </c>
      <c r="V43" s="6">
        <f t="shared" si="3"/>
        <v>2.7764799999999998</v>
      </c>
    </row>
    <row r="44" spans="7:22" x14ac:dyDescent="0.25">
      <c r="G44" s="6">
        <v>33</v>
      </c>
      <c r="H44" s="6">
        <v>8</v>
      </c>
      <c r="I44" s="6" t="s">
        <v>9</v>
      </c>
      <c r="J44" s="6" t="s">
        <v>7</v>
      </c>
      <c r="K44" s="6">
        <v>750</v>
      </c>
      <c r="L44" s="6">
        <v>3</v>
      </c>
      <c r="N44" s="6">
        <f t="shared" si="0"/>
        <v>24</v>
      </c>
      <c r="O44" s="6" t="s">
        <v>60</v>
      </c>
      <c r="P44" s="53">
        <v>8</v>
      </c>
      <c r="Q44" s="53" t="s">
        <v>9</v>
      </c>
      <c r="R44" s="53" t="s">
        <v>7</v>
      </c>
      <c r="S44" s="53">
        <v>750</v>
      </c>
      <c r="T44" s="53">
        <v>3</v>
      </c>
      <c r="U44" s="6">
        <f t="shared" si="2"/>
        <v>24</v>
      </c>
      <c r="V44" s="6">
        <f t="shared" si="3"/>
        <v>2.8140000000000001</v>
      </c>
    </row>
    <row r="45" spans="7:22" x14ac:dyDescent="0.25">
      <c r="G45" s="6">
        <v>34</v>
      </c>
      <c r="H45" s="6">
        <v>32</v>
      </c>
      <c r="I45" s="6" t="s">
        <v>9</v>
      </c>
      <c r="J45" s="6" t="s">
        <v>7</v>
      </c>
      <c r="K45" s="6">
        <v>770</v>
      </c>
      <c r="L45" s="6">
        <v>3</v>
      </c>
      <c r="N45" s="6">
        <f t="shared" si="0"/>
        <v>96</v>
      </c>
      <c r="O45" s="6" t="s">
        <v>60</v>
      </c>
      <c r="P45" s="53">
        <v>32</v>
      </c>
      <c r="Q45" s="53" t="s">
        <v>9</v>
      </c>
      <c r="R45" s="53" t="s">
        <v>7</v>
      </c>
      <c r="S45" s="53">
        <v>770</v>
      </c>
      <c r="T45" s="53">
        <v>3</v>
      </c>
      <c r="U45" s="6">
        <f t="shared" si="2"/>
        <v>96</v>
      </c>
      <c r="V45" s="6">
        <f t="shared" si="3"/>
        <v>11.55616</v>
      </c>
    </row>
    <row r="46" spans="7:22" x14ac:dyDescent="0.25">
      <c r="G46" s="6">
        <v>35</v>
      </c>
      <c r="H46" s="6">
        <v>3</v>
      </c>
      <c r="I46" s="6" t="s">
        <v>9</v>
      </c>
      <c r="J46" s="6" t="s">
        <v>7</v>
      </c>
      <c r="K46" s="6">
        <v>780</v>
      </c>
      <c r="L46" s="6">
        <v>3</v>
      </c>
      <c r="N46" s="6">
        <f t="shared" si="0"/>
        <v>9</v>
      </c>
      <c r="O46" s="6" t="s">
        <v>60</v>
      </c>
      <c r="P46" s="53">
        <v>3</v>
      </c>
      <c r="Q46" s="53" t="s">
        <v>9</v>
      </c>
      <c r="R46" s="53" t="s">
        <v>7</v>
      </c>
      <c r="S46" s="53">
        <v>780</v>
      </c>
      <c r="T46" s="53">
        <v>3</v>
      </c>
      <c r="U46" s="6">
        <f t="shared" si="2"/>
        <v>9</v>
      </c>
      <c r="V46" s="6">
        <f t="shared" si="3"/>
        <v>1.0974599999999999</v>
      </c>
    </row>
    <row r="47" spans="7:22" x14ac:dyDescent="0.25">
      <c r="G47" s="6">
        <v>36</v>
      </c>
      <c r="H47" s="6">
        <v>36</v>
      </c>
      <c r="I47" s="6" t="s">
        <v>9</v>
      </c>
      <c r="J47" s="6" t="s">
        <v>7</v>
      </c>
      <c r="K47" s="6">
        <v>800</v>
      </c>
      <c r="L47" s="6">
        <v>3</v>
      </c>
      <c r="N47" s="6">
        <f t="shared" si="0"/>
        <v>108</v>
      </c>
      <c r="O47" s="6" t="s">
        <v>60</v>
      </c>
      <c r="P47" s="53">
        <v>36</v>
      </c>
      <c r="Q47" s="53" t="s">
        <v>9</v>
      </c>
      <c r="R47" s="53" t="s">
        <v>7</v>
      </c>
      <c r="S47" s="53">
        <v>800</v>
      </c>
      <c r="T47" s="53">
        <v>3</v>
      </c>
      <c r="U47" s="6">
        <f t="shared" si="2"/>
        <v>108</v>
      </c>
      <c r="V47" s="6">
        <f t="shared" si="3"/>
        <v>13.507199999999999</v>
      </c>
    </row>
    <row r="48" spans="7:22" x14ac:dyDescent="0.25">
      <c r="G48" s="6">
        <v>37</v>
      </c>
      <c r="H48" s="6">
        <v>5</v>
      </c>
      <c r="I48" s="6" t="s">
        <v>9</v>
      </c>
      <c r="J48" s="6" t="s">
        <v>7</v>
      </c>
      <c r="K48" s="6">
        <v>810</v>
      </c>
      <c r="L48" s="6">
        <v>3</v>
      </c>
      <c r="N48" s="6">
        <f t="shared" si="0"/>
        <v>15</v>
      </c>
      <c r="O48" s="6" t="s">
        <v>60</v>
      </c>
      <c r="P48" s="53">
        <v>5</v>
      </c>
      <c r="Q48" s="53" t="s">
        <v>9</v>
      </c>
      <c r="R48" s="53" t="s">
        <v>7</v>
      </c>
      <c r="S48" s="53">
        <v>810</v>
      </c>
      <c r="T48" s="53">
        <v>3</v>
      </c>
      <c r="U48" s="6">
        <f t="shared" si="2"/>
        <v>15</v>
      </c>
      <c r="V48" s="6">
        <f t="shared" si="3"/>
        <v>1.8994500000000001</v>
      </c>
    </row>
    <row r="49" spans="7:22" x14ac:dyDescent="0.25">
      <c r="G49" s="6">
        <v>38</v>
      </c>
      <c r="H49" s="6">
        <v>14</v>
      </c>
      <c r="I49" s="6" t="s">
        <v>9</v>
      </c>
      <c r="J49" s="6" t="s">
        <v>7</v>
      </c>
      <c r="K49" s="6">
        <v>820</v>
      </c>
      <c r="L49" s="6">
        <v>3</v>
      </c>
      <c r="N49" s="6">
        <f t="shared" si="0"/>
        <v>42</v>
      </c>
      <c r="O49" s="6" t="s">
        <v>60</v>
      </c>
      <c r="P49" s="53">
        <v>14</v>
      </c>
      <c r="Q49" s="53" t="s">
        <v>9</v>
      </c>
      <c r="R49" s="53" t="s">
        <v>7</v>
      </c>
      <c r="S49" s="53">
        <v>820</v>
      </c>
      <c r="T49" s="53">
        <v>3</v>
      </c>
      <c r="U49" s="6">
        <f t="shared" si="2"/>
        <v>42</v>
      </c>
      <c r="V49" s="6">
        <f t="shared" si="3"/>
        <v>5.3841199999999994</v>
      </c>
    </row>
    <row r="50" spans="7:22" x14ac:dyDescent="0.25">
      <c r="G50" s="6">
        <v>39</v>
      </c>
      <c r="H50" s="6">
        <v>20</v>
      </c>
      <c r="I50" s="6" t="s">
        <v>9</v>
      </c>
      <c r="J50" s="6" t="s">
        <v>7</v>
      </c>
      <c r="K50" s="6">
        <v>850</v>
      </c>
      <c r="L50" s="6">
        <v>3</v>
      </c>
      <c r="N50" s="6">
        <f t="shared" si="0"/>
        <v>60</v>
      </c>
      <c r="O50" s="6" t="s">
        <v>60</v>
      </c>
      <c r="P50" s="53">
        <v>20</v>
      </c>
      <c r="Q50" s="53" t="s">
        <v>9</v>
      </c>
      <c r="R50" s="53" t="s">
        <v>7</v>
      </c>
      <c r="S50" s="53">
        <v>850</v>
      </c>
      <c r="T50" s="53">
        <v>3</v>
      </c>
      <c r="U50" s="6">
        <f t="shared" si="2"/>
        <v>60</v>
      </c>
      <c r="V50" s="6">
        <f t="shared" si="3"/>
        <v>7.972999999999999</v>
      </c>
    </row>
    <row r="51" spans="7:22" x14ac:dyDescent="0.25">
      <c r="G51" s="6">
        <v>40</v>
      </c>
      <c r="H51" s="6">
        <v>1</v>
      </c>
      <c r="I51" s="6" t="s">
        <v>9</v>
      </c>
      <c r="J51" s="6" t="s">
        <v>7</v>
      </c>
      <c r="K51" s="6">
        <v>870</v>
      </c>
      <c r="L51" s="6">
        <v>3</v>
      </c>
      <c r="N51" s="6">
        <f t="shared" si="0"/>
        <v>3</v>
      </c>
      <c r="O51" s="6" t="s">
        <v>60</v>
      </c>
      <c r="P51" s="53">
        <v>1</v>
      </c>
      <c r="Q51" s="53" t="s">
        <v>9</v>
      </c>
      <c r="R51" s="53" t="s">
        <v>7</v>
      </c>
      <c r="S51" s="53">
        <v>870</v>
      </c>
      <c r="T51" s="53">
        <v>3</v>
      </c>
      <c r="U51" s="6">
        <f t="shared" si="2"/>
        <v>3</v>
      </c>
      <c r="V51" s="6">
        <f t="shared" si="3"/>
        <v>0.40802999999999995</v>
      </c>
    </row>
    <row r="52" spans="7:22" x14ac:dyDescent="0.25">
      <c r="G52" s="6">
        <v>41</v>
      </c>
      <c r="H52" s="6">
        <v>4</v>
      </c>
      <c r="I52" s="6" t="s">
        <v>9</v>
      </c>
      <c r="J52" s="6" t="s">
        <v>7</v>
      </c>
      <c r="K52" s="6">
        <v>880</v>
      </c>
      <c r="L52" s="6">
        <v>3</v>
      </c>
      <c r="N52" s="6">
        <f t="shared" si="0"/>
        <v>12</v>
      </c>
      <c r="O52" s="6" t="s">
        <v>60</v>
      </c>
      <c r="P52" s="53">
        <v>4</v>
      </c>
      <c r="Q52" s="53" t="s">
        <v>9</v>
      </c>
      <c r="R52" s="53" t="s">
        <v>7</v>
      </c>
      <c r="S52" s="53">
        <v>880</v>
      </c>
      <c r="T52" s="53">
        <v>3</v>
      </c>
      <c r="U52" s="6">
        <f t="shared" si="2"/>
        <v>12</v>
      </c>
      <c r="V52" s="6">
        <f t="shared" si="3"/>
        <v>1.6508799999999999</v>
      </c>
    </row>
    <row r="53" spans="7:22" x14ac:dyDescent="0.25">
      <c r="G53" s="6">
        <v>42</v>
      </c>
      <c r="H53" s="6">
        <v>1</v>
      </c>
      <c r="I53" s="6" t="s">
        <v>9</v>
      </c>
      <c r="J53" s="6" t="s">
        <v>7</v>
      </c>
      <c r="K53" s="6">
        <v>890</v>
      </c>
      <c r="L53" s="6">
        <v>3</v>
      </c>
      <c r="N53" s="6">
        <f t="shared" si="0"/>
        <v>3</v>
      </c>
      <c r="O53" s="6" t="s">
        <v>60</v>
      </c>
      <c r="P53" s="53">
        <v>1</v>
      </c>
      <c r="Q53" s="53" t="s">
        <v>9</v>
      </c>
      <c r="R53" s="53" t="s">
        <v>7</v>
      </c>
      <c r="S53" s="53">
        <v>890</v>
      </c>
      <c r="T53" s="53">
        <v>3</v>
      </c>
      <c r="U53" s="6">
        <f t="shared" si="2"/>
        <v>3</v>
      </c>
      <c r="V53" s="6">
        <f t="shared" si="3"/>
        <v>0.41741</v>
      </c>
    </row>
    <row r="54" spans="7:22" x14ac:dyDescent="0.25">
      <c r="G54" s="6">
        <v>43</v>
      </c>
      <c r="H54" s="6">
        <v>12</v>
      </c>
      <c r="I54" s="6" t="s">
        <v>9</v>
      </c>
      <c r="J54" s="6" t="s">
        <v>7</v>
      </c>
      <c r="K54" s="6">
        <v>900</v>
      </c>
      <c r="L54" s="6">
        <v>3</v>
      </c>
      <c r="N54" s="6">
        <f t="shared" si="0"/>
        <v>36</v>
      </c>
      <c r="O54" s="6" t="s">
        <v>60</v>
      </c>
      <c r="P54" s="53">
        <v>12</v>
      </c>
      <c r="Q54" s="53" t="s">
        <v>9</v>
      </c>
      <c r="R54" s="53" t="s">
        <v>7</v>
      </c>
      <c r="S54" s="53">
        <v>900</v>
      </c>
      <c r="T54" s="53">
        <v>3</v>
      </c>
      <c r="U54" s="6">
        <f t="shared" si="2"/>
        <v>36</v>
      </c>
      <c r="V54" s="6">
        <f t="shared" si="3"/>
        <v>5.0651999999999999</v>
      </c>
    </row>
    <row r="55" spans="7:22" x14ac:dyDescent="0.25">
      <c r="G55" s="6">
        <v>44</v>
      </c>
      <c r="H55" s="6">
        <v>4</v>
      </c>
      <c r="I55" s="6" t="s">
        <v>9</v>
      </c>
      <c r="J55" s="6" t="s">
        <v>7</v>
      </c>
      <c r="K55" s="6">
        <v>930</v>
      </c>
      <c r="L55" s="6">
        <v>3</v>
      </c>
      <c r="N55" s="6">
        <f t="shared" si="0"/>
        <v>12</v>
      </c>
      <c r="O55" s="6" t="s">
        <v>60</v>
      </c>
      <c r="P55" s="53">
        <v>4</v>
      </c>
      <c r="Q55" s="53" t="s">
        <v>9</v>
      </c>
      <c r="R55" s="53" t="s">
        <v>7</v>
      </c>
      <c r="S55" s="53">
        <v>930</v>
      </c>
      <c r="T55" s="53">
        <v>3</v>
      </c>
      <c r="U55" s="6">
        <f t="shared" si="2"/>
        <v>12</v>
      </c>
      <c r="V55" s="6">
        <f t="shared" si="3"/>
        <v>1.74468</v>
      </c>
    </row>
    <row r="56" spans="7:22" x14ac:dyDescent="0.25">
      <c r="G56" s="6">
        <v>45</v>
      </c>
      <c r="H56" s="6">
        <v>2</v>
      </c>
      <c r="I56" s="6" t="s">
        <v>9</v>
      </c>
      <c r="J56" s="6" t="s">
        <v>7</v>
      </c>
      <c r="K56" s="6">
        <v>980</v>
      </c>
      <c r="L56" s="6">
        <v>4</v>
      </c>
      <c r="N56" s="6">
        <f t="shared" si="0"/>
        <v>8</v>
      </c>
      <c r="O56" s="6" t="s">
        <v>60</v>
      </c>
      <c r="P56" s="53">
        <v>2</v>
      </c>
      <c r="Q56" s="53" t="s">
        <v>9</v>
      </c>
      <c r="R56" s="53" t="s">
        <v>7</v>
      </c>
      <c r="S56" s="53">
        <v>980</v>
      </c>
      <c r="T56" s="53">
        <v>4</v>
      </c>
      <c r="U56" s="6">
        <f t="shared" si="2"/>
        <v>8</v>
      </c>
      <c r="V56" s="6">
        <f t="shared" si="3"/>
        <v>0.91923999999999995</v>
      </c>
    </row>
    <row r="57" spans="7:22" x14ac:dyDescent="0.25">
      <c r="G57" s="6">
        <v>46</v>
      </c>
      <c r="H57" s="6">
        <v>16</v>
      </c>
      <c r="I57" s="6" t="s">
        <v>9</v>
      </c>
      <c r="J57" s="6" t="s">
        <v>7</v>
      </c>
      <c r="K57" s="6">
        <v>990</v>
      </c>
      <c r="L57" s="6">
        <v>4</v>
      </c>
      <c r="N57" s="6">
        <f t="shared" si="0"/>
        <v>64</v>
      </c>
      <c r="O57" s="6" t="s">
        <v>60</v>
      </c>
      <c r="P57" s="53">
        <v>16</v>
      </c>
      <c r="Q57" s="53" t="s">
        <v>9</v>
      </c>
      <c r="R57" s="53" t="s">
        <v>7</v>
      </c>
      <c r="S57" s="53">
        <v>990</v>
      </c>
      <c r="T57" s="53">
        <v>4</v>
      </c>
      <c r="U57" s="6">
        <f t="shared" si="2"/>
        <v>64</v>
      </c>
      <c r="V57" s="6">
        <f t="shared" si="3"/>
        <v>7.4289599999999991</v>
      </c>
    </row>
    <row r="58" spans="7:22" x14ac:dyDescent="0.25">
      <c r="G58" s="6">
        <v>47</v>
      </c>
      <c r="H58" s="6">
        <v>4</v>
      </c>
      <c r="I58" s="6" t="s">
        <v>9</v>
      </c>
      <c r="J58" s="6" t="s">
        <v>7</v>
      </c>
      <c r="K58" s="6">
        <v>1010</v>
      </c>
      <c r="L58" s="6">
        <v>4</v>
      </c>
      <c r="N58" s="6">
        <f t="shared" si="0"/>
        <v>16</v>
      </c>
      <c r="O58" s="6" t="s">
        <v>60</v>
      </c>
      <c r="P58" s="53">
        <v>4</v>
      </c>
      <c r="Q58" s="53" t="s">
        <v>9</v>
      </c>
      <c r="R58" s="53" t="s">
        <v>7</v>
      </c>
      <c r="S58" s="53">
        <v>1010</v>
      </c>
      <c r="T58" s="53">
        <v>4</v>
      </c>
      <c r="U58" s="6">
        <f t="shared" si="2"/>
        <v>16</v>
      </c>
      <c r="V58" s="6">
        <f t="shared" si="3"/>
        <v>1.89476</v>
      </c>
    </row>
    <row r="59" spans="7:22" x14ac:dyDescent="0.25">
      <c r="G59" s="6">
        <v>48</v>
      </c>
      <c r="H59" s="6">
        <v>12</v>
      </c>
      <c r="I59" s="6" t="s">
        <v>9</v>
      </c>
      <c r="J59" s="6" t="s">
        <v>7</v>
      </c>
      <c r="K59" s="6">
        <v>1020</v>
      </c>
      <c r="L59" s="6">
        <v>4</v>
      </c>
      <c r="N59" s="6">
        <f t="shared" si="0"/>
        <v>48</v>
      </c>
      <c r="O59" s="6" t="s">
        <v>60</v>
      </c>
      <c r="P59" s="53">
        <v>12</v>
      </c>
      <c r="Q59" s="53" t="s">
        <v>9</v>
      </c>
      <c r="R59" s="53" t="s">
        <v>7</v>
      </c>
      <c r="S59" s="53">
        <v>1020</v>
      </c>
      <c r="T59" s="53">
        <v>4</v>
      </c>
      <c r="U59" s="6">
        <f t="shared" si="2"/>
        <v>48</v>
      </c>
      <c r="V59" s="6">
        <f t="shared" si="3"/>
        <v>5.7405599999999994</v>
      </c>
    </row>
    <row r="60" spans="7:22" x14ac:dyDescent="0.25">
      <c r="G60" s="6">
        <v>49</v>
      </c>
      <c r="H60" s="6">
        <v>1</v>
      </c>
      <c r="I60" s="6" t="s">
        <v>9</v>
      </c>
      <c r="J60" s="6" t="s">
        <v>7</v>
      </c>
      <c r="K60" s="6">
        <v>1030</v>
      </c>
      <c r="L60" s="6">
        <v>4</v>
      </c>
      <c r="N60" s="6">
        <f t="shared" si="0"/>
        <v>4</v>
      </c>
      <c r="O60" s="6" t="s">
        <v>60</v>
      </c>
      <c r="P60" s="53">
        <v>1</v>
      </c>
      <c r="Q60" s="53" t="s">
        <v>9</v>
      </c>
      <c r="R60" s="53" t="s">
        <v>7</v>
      </c>
      <c r="S60" s="53">
        <v>1030</v>
      </c>
      <c r="T60" s="53">
        <v>4</v>
      </c>
      <c r="U60" s="6">
        <f t="shared" si="2"/>
        <v>4</v>
      </c>
      <c r="V60" s="6">
        <f t="shared" si="3"/>
        <v>0.48307</v>
      </c>
    </row>
    <row r="61" spans="7:22" x14ac:dyDescent="0.25">
      <c r="G61" s="6">
        <v>50</v>
      </c>
      <c r="H61" s="6">
        <v>96</v>
      </c>
      <c r="I61" s="6" t="s">
        <v>9</v>
      </c>
      <c r="J61" s="6" t="s">
        <v>7</v>
      </c>
      <c r="K61" s="6">
        <v>1040</v>
      </c>
      <c r="L61" s="6">
        <v>4</v>
      </c>
      <c r="N61" s="6">
        <f t="shared" si="0"/>
        <v>384</v>
      </c>
      <c r="O61" s="6" t="s">
        <v>60</v>
      </c>
      <c r="P61" s="53">
        <v>96</v>
      </c>
      <c r="Q61" s="53" t="s">
        <v>9</v>
      </c>
      <c r="R61" s="53" t="s">
        <v>7</v>
      </c>
      <c r="S61" s="53">
        <v>1040</v>
      </c>
      <c r="T61" s="53">
        <v>4</v>
      </c>
      <c r="U61" s="6">
        <f t="shared" si="2"/>
        <v>384</v>
      </c>
      <c r="V61" s="6">
        <f t="shared" si="3"/>
        <v>46.824959999999997</v>
      </c>
    </row>
    <row r="62" spans="7:22" x14ac:dyDescent="0.25">
      <c r="G62" s="6">
        <v>51</v>
      </c>
      <c r="H62" s="6">
        <v>6</v>
      </c>
      <c r="I62" s="6" t="s">
        <v>9</v>
      </c>
      <c r="J62" s="6" t="s">
        <v>7</v>
      </c>
      <c r="K62" s="6">
        <v>1070</v>
      </c>
      <c r="L62" s="6">
        <v>4</v>
      </c>
      <c r="N62" s="6">
        <f t="shared" si="0"/>
        <v>24</v>
      </c>
      <c r="O62" s="6" t="s">
        <v>60</v>
      </c>
      <c r="P62" s="53">
        <v>6</v>
      </c>
      <c r="Q62" s="53" t="s">
        <v>9</v>
      </c>
      <c r="R62" s="53" t="s">
        <v>7</v>
      </c>
      <c r="S62" s="53">
        <v>1070</v>
      </c>
      <c r="T62" s="53">
        <v>4</v>
      </c>
      <c r="U62" s="6">
        <f t="shared" si="2"/>
        <v>24</v>
      </c>
      <c r="V62" s="6">
        <f t="shared" si="3"/>
        <v>3.01098</v>
      </c>
    </row>
    <row r="63" spans="7:22" x14ac:dyDescent="0.25">
      <c r="G63" s="6">
        <v>52</v>
      </c>
      <c r="H63" s="6">
        <v>2</v>
      </c>
      <c r="I63" s="6" t="s">
        <v>9</v>
      </c>
      <c r="J63" s="6" t="s">
        <v>7</v>
      </c>
      <c r="K63" s="6">
        <v>1080</v>
      </c>
      <c r="L63" s="6">
        <v>4</v>
      </c>
      <c r="N63" s="6">
        <f t="shared" si="0"/>
        <v>8</v>
      </c>
      <c r="O63" s="6" t="s">
        <v>60</v>
      </c>
      <c r="P63" s="53">
        <v>2</v>
      </c>
      <c r="Q63" s="53" t="s">
        <v>9</v>
      </c>
      <c r="R63" s="53" t="s">
        <v>7</v>
      </c>
      <c r="S63" s="53">
        <v>1080</v>
      </c>
      <c r="T63" s="53">
        <v>4</v>
      </c>
      <c r="U63" s="6">
        <f t="shared" si="2"/>
        <v>8</v>
      </c>
      <c r="V63" s="6">
        <f t="shared" si="3"/>
        <v>1.0130399999999999</v>
      </c>
    </row>
    <row r="64" spans="7:22" x14ac:dyDescent="0.25">
      <c r="G64" s="6">
        <v>53</v>
      </c>
      <c r="H64" s="6">
        <v>2</v>
      </c>
      <c r="I64" s="6" t="s">
        <v>9</v>
      </c>
      <c r="J64" s="6" t="s">
        <v>7</v>
      </c>
      <c r="K64" s="6">
        <v>1090</v>
      </c>
      <c r="L64" s="6">
        <v>4</v>
      </c>
      <c r="N64" s="6">
        <f t="shared" si="0"/>
        <v>8</v>
      </c>
      <c r="O64" s="6" t="s">
        <v>60</v>
      </c>
      <c r="P64" s="53">
        <v>2</v>
      </c>
      <c r="Q64" s="53" t="s">
        <v>9</v>
      </c>
      <c r="R64" s="53" t="s">
        <v>7</v>
      </c>
      <c r="S64" s="53">
        <v>1090</v>
      </c>
      <c r="T64" s="53">
        <v>4</v>
      </c>
      <c r="U64" s="6">
        <f t="shared" si="2"/>
        <v>8</v>
      </c>
      <c r="V64" s="6">
        <f t="shared" si="3"/>
        <v>1.0224200000000001</v>
      </c>
    </row>
    <row r="65" spans="6:38" x14ac:dyDescent="0.25">
      <c r="G65" s="6">
        <v>54</v>
      </c>
      <c r="H65" s="6">
        <v>79</v>
      </c>
      <c r="I65" s="6" t="s">
        <v>9</v>
      </c>
      <c r="J65" s="6" t="s">
        <v>7</v>
      </c>
      <c r="K65" s="6">
        <v>1110</v>
      </c>
      <c r="L65" s="6">
        <v>4</v>
      </c>
      <c r="N65" s="6">
        <f t="shared" si="0"/>
        <v>316</v>
      </c>
      <c r="O65" s="6" t="s">
        <v>60</v>
      </c>
      <c r="P65" s="53">
        <v>79</v>
      </c>
      <c r="Q65" s="53" t="s">
        <v>9</v>
      </c>
      <c r="R65" s="53" t="s">
        <v>7</v>
      </c>
      <c r="S65" s="53">
        <v>1110</v>
      </c>
      <c r="T65" s="53">
        <v>4</v>
      </c>
      <c r="U65" s="6">
        <f t="shared" si="2"/>
        <v>316</v>
      </c>
      <c r="V65" s="6">
        <f t="shared" si="3"/>
        <v>41.126609999999999</v>
      </c>
    </row>
    <row r="66" spans="6:38" x14ac:dyDescent="0.25">
      <c r="G66" s="6">
        <v>55</v>
      </c>
      <c r="H66" s="6">
        <v>2</v>
      </c>
      <c r="I66" s="6" t="s">
        <v>9</v>
      </c>
      <c r="J66" s="6" t="s">
        <v>7</v>
      </c>
      <c r="K66" s="6">
        <v>1120</v>
      </c>
      <c r="L66" s="6">
        <v>4</v>
      </c>
      <c r="N66" s="6">
        <f t="shared" si="0"/>
        <v>8</v>
      </c>
      <c r="O66" s="6" t="s">
        <v>60</v>
      </c>
      <c r="P66" s="53">
        <v>2</v>
      </c>
      <c r="Q66" s="53" t="s">
        <v>9</v>
      </c>
      <c r="R66" s="53" t="s">
        <v>7</v>
      </c>
      <c r="S66" s="53">
        <v>1120</v>
      </c>
      <c r="T66" s="53">
        <v>4</v>
      </c>
      <c r="U66" s="6">
        <f t="shared" si="2"/>
        <v>8</v>
      </c>
      <c r="V66" s="6">
        <f t="shared" si="3"/>
        <v>1.0505599999999999</v>
      </c>
    </row>
    <row r="67" spans="6:38" x14ac:dyDescent="0.25">
      <c r="G67" s="6">
        <v>56</v>
      </c>
      <c r="H67" s="6">
        <v>1</v>
      </c>
      <c r="I67" s="6" t="s">
        <v>9</v>
      </c>
      <c r="J67" s="6" t="s">
        <v>7</v>
      </c>
      <c r="K67" s="6">
        <v>1150</v>
      </c>
      <c r="L67" s="6">
        <v>4</v>
      </c>
      <c r="N67" s="6">
        <f t="shared" si="0"/>
        <v>4</v>
      </c>
      <c r="O67" s="6" t="s">
        <v>60</v>
      </c>
      <c r="P67" s="53">
        <v>1</v>
      </c>
      <c r="Q67" s="53" t="s">
        <v>9</v>
      </c>
      <c r="R67" s="53" t="s">
        <v>7</v>
      </c>
      <c r="S67" s="53">
        <v>1150</v>
      </c>
      <c r="T67" s="53">
        <v>4</v>
      </c>
      <c r="U67" s="6">
        <f t="shared" si="2"/>
        <v>4</v>
      </c>
      <c r="V67" s="6">
        <f t="shared" si="3"/>
        <v>0.53934999999999989</v>
      </c>
    </row>
    <row r="68" spans="6:38" x14ac:dyDescent="0.25">
      <c r="G68" s="6">
        <v>57</v>
      </c>
      <c r="H68" s="6">
        <v>3</v>
      </c>
      <c r="I68" s="6" t="s">
        <v>9</v>
      </c>
      <c r="J68" s="6" t="s">
        <v>7</v>
      </c>
      <c r="K68" s="6">
        <v>1160</v>
      </c>
      <c r="L68" s="6">
        <v>4</v>
      </c>
      <c r="N68" s="6">
        <f t="shared" si="0"/>
        <v>12</v>
      </c>
      <c r="O68" s="6" t="s">
        <v>60</v>
      </c>
      <c r="P68" s="53">
        <v>3</v>
      </c>
      <c r="Q68" s="53" t="s">
        <v>9</v>
      </c>
      <c r="R68" s="53" t="s">
        <v>7</v>
      </c>
      <c r="S68" s="53">
        <v>1160</v>
      </c>
      <c r="T68" s="53">
        <v>4</v>
      </c>
      <c r="U68" s="6">
        <f t="shared" si="2"/>
        <v>12</v>
      </c>
      <c r="V68" s="6">
        <f t="shared" si="3"/>
        <v>1.63212</v>
      </c>
    </row>
    <row r="69" spans="6:38" x14ac:dyDescent="0.25">
      <c r="G69" s="6">
        <v>58</v>
      </c>
      <c r="H69" s="6">
        <v>34</v>
      </c>
      <c r="I69" s="6" t="s">
        <v>9</v>
      </c>
      <c r="J69" s="6" t="s">
        <v>7</v>
      </c>
      <c r="K69" s="6">
        <v>1180</v>
      </c>
      <c r="L69" s="6">
        <v>4</v>
      </c>
      <c r="N69" s="6">
        <f t="shared" si="0"/>
        <v>136</v>
      </c>
      <c r="O69" s="6" t="s">
        <v>60</v>
      </c>
      <c r="P69" s="53">
        <v>34</v>
      </c>
      <c r="Q69" s="53" t="s">
        <v>9</v>
      </c>
      <c r="R69" s="53" t="s">
        <v>7</v>
      </c>
      <c r="S69" s="53">
        <v>1180</v>
      </c>
      <c r="T69" s="53">
        <v>4</v>
      </c>
      <c r="U69" s="6">
        <f t="shared" si="2"/>
        <v>136</v>
      </c>
      <c r="V69" s="6">
        <f t="shared" si="3"/>
        <v>18.816279999999995</v>
      </c>
    </row>
    <row r="70" spans="6:38" x14ac:dyDescent="0.25">
      <c r="G70" s="6">
        <v>59</v>
      </c>
      <c r="H70" s="6">
        <v>1</v>
      </c>
      <c r="I70" s="6" t="s">
        <v>9</v>
      </c>
      <c r="J70" s="6" t="s">
        <v>7</v>
      </c>
      <c r="K70" s="6">
        <v>1190</v>
      </c>
      <c r="L70" s="6">
        <v>4</v>
      </c>
      <c r="N70" s="6">
        <f t="shared" si="0"/>
        <v>4</v>
      </c>
      <c r="O70" s="6" t="s">
        <v>60</v>
      </c>
      <c r="P70" s="53">
        <v>1</v>
      </c>
      <c r="Q70" s="53" t="s">
        <v>9</v>
      </c>
      <c r="R70" s="53" t="s">
        <v>7</v>
      </c>
      <c r="S70" s="53">
        <v>1190</v>
      </c>
      <c r="T70" s="53">
        <v>4</v>
      </c>
      <c r="U70" s="6">
        <f t="shared" si="2"/>
        <v>4</v>
      </c>
      <c r="V70" s="6">
        <f t="shared" si="3"/>
        <v>0.55810999999999999</v>
      </c>
    </row>
    <row r="71" spans="6:38" x14ac:dyDescent="0.25">
      <c r="G71" s="6">
        <v>60</v>
      </c>
      <c r="H71" s="6">
        <v>9</v>
      </c>
      <c r="I71" s="6" t="s">
        <v>9</v>
      </c>
      <c r="J71" s="6" t="s">
        <v>7</v>
      </c>
      <c r="K71" s="6">
        <v>1200</v>
      </c>
      <c r="L71" s="6">
        <v>4</v>
      </c>
      <c r="N71" s="6">
        <f t="shared" si="0"/>
        <v>36</v>
      </c>
      <c r="O71" s="6" t="s">
        <v>60</v>
      </c>
      <c r="P71" s="53">
        <v>9</v>
      </c>
      <c r="Q71" s="53" t="s">
        <v>9</v>
      </c>
      <c r="R71" s="53" t="s">
        <v>7</v>
      </c>
      <c r="S71" s="53">
        <v>1200</v>
      </c>
      <c r="T71" s="53">
        <v>4</v>
      </c>
      <c r="U71" s="6">
        <f t="shared" si="2"/>
        <v>36</v>
      </c>
      <c r="V71" s="6">
        <f t="shared" si="3"/>
        <v>5.0651999999999999</v>
      </c>
    </row>
    <row r="72" spans="6:38" x14ac:dyDescent="0.25">
      <c r="G72" s="6">
        <v>61</v>
      </c>
      <c r="H72" s="6">
        <v>7</v>
      </c>
      <c r="I72" s="6" t="s">
        <v>9</v>
      </c>
      <c r="J72" s="6" t="s">
        <v>7</v>
      </c>
      <c r="K72" s="6">
        <v>1210</v>
      </c>
      <c r="L72" s="6">
        <v>4</v>
      </c>
      <c r="N72" s="6">
        <f t="shared" si="0"/>
        <v>28</v>
      </c>
      <c r="O72" s="6" t="s">
        <v>60</v>
      </c>
      <c r="P72" s="53">
        <v>7</v>
      </c>
      <c r="Q72" s="53" t="s">
        <v>9</v>
      </c>
      <c r="R72" s="53" t="s">
        <v>7</v>
      </c>
      <c r="S72" s="53">
        <v>1210</v>
      </c>
      <c r="T72" s="53">
        <v>4</v>
      </c>
      <c r="U72" s="6">
        <f t="shared" si="2"/>
        <v>28</v>
      </c>
      <c r="V72" s="6">
        <f t="shared" si="3"/>
        <v>3.9724299999999997</v>
      </c>
    </row>
    <row r="73" spans="6:38" x14ac:dyDescent="0.25">
      <c r="G73" s="6">
        <v>62</v>
      </c>
      <c r="H73" s="6">
        <v>8</v>
      </c>
      <c r="I73" s="6" t="s">
        <v>9</v>
      </c>
      <c r="J73" s="6" t="s">
        <v>7</v>
      </c>
      <c r="K73" s="6">
        <v>1230</v>
      </c>
      <c r="L73" s="6">
        <v>4</v>
      </c>
      <c r="N73" s="6">
        <f t="shared" si="0"/>
        <v>32</v>
      </c>
      <c r="O73" s="6" t="s">
        <v>60</v>
      </c>
      <c r="P73" s="53">
        <v>8</v>
      </c>
      <c r="Q73" s="53" t="s">
        <v>9</v>
      </c>
      <c r="R73" s="53" t="s">
        <v>7</v>
      </c>
      <c r="S73" s="53">
        <v>1230</v>
      </c>
      <c r="T73" s="53">
        <v>4</v>
      </c>
      <c r="U73" s="6">
        <f t="shared" si="2"/>
        <v>32</v>
      </c>
      <c r="V73" s="6">
        <f t="shared" si="3"/>
        <v>4.61496</v>
      </c>
    </row>
    <row r="74" spans="6:38" x14ac:dyDescent="0.25">
      <c r="G74" s="6">
        <v>63</v>
      </c>
      <c r="H74" s="6">
        <v>8</v>
      </c>
      <c r="I74" s="6" t="s">
        <v>9</v>
      </c>
      <c r="J74" s="6" t="s">
        <v>7</v>
      </c>
      <c r="K74" s="6">
        <v>1240</v>
      </c>
      <c r="L74" s="6">
        <v>5</v>
      </c>
      <c r="N74" s="6">
        <f t="shared" si="0"/>
        <v>40</v>
      </c>
      <c r="O74" s="6" t="s">
        <v>60</v>
      </c>
      <c r="P74" s="53">
        <v>8</v>
      </c>
      <c r="Q74" s="53" t="s">
        <v>9</v>
      </c>
      <c r="R74" s="53" t="s">
        <v>7</v>
      </c>
      <c r="S74" s="53">
        <v>1240</v>
      </c>
      <c r="T74" s="53">
        <v>5</v>
      </c>
      <c r="U74" s="6">
        <f t="shared" si="2"/>
        <v>40</v>
      </c>
      <c r="V74" s="6">
        <f t="shared" si="3"/>
        <v>4.6524799999999997</v>
      </c>
    </row>
    <row r="75" spans="6:38" x14ac:dyDescent="0.25">
      <c r="G75" s="6">
        <v>64</v>
      </c>
      <c r="H75" s="6">
        <v>20</v>
      </c>
      <c r="I75" s="6" t="s">
        <v>9</v>
      </c>
      <c r="J75" s="6" t="s">
        <v>7</v>
      </c>
      <c r="K75" s="6">
        <v>1250</v>
      </c>
      <c r="L75" s="6">
        <v>5</v>
      </c>
      <c r="N75" s="6">
        <f t="shared" si="0"/>
        <v>100</v>
      </c>
      <c r="O75" s="6" t="s">
        <v>60</v>
      </c>
      <c r="P75" s="53">
        <v>20</v>
      </c>
      <c r="Q75" s="53" t="s">
        <v>9</v>
      </c>
      <c r="R75" s="53" t="s">
        <v>7</v>
      </c>
      <c r="S75" s="53">
        <v>1250</v>
      </c>
      <c r="T75" s="53">
        <v>5</v>
      </c>
      <c r="U75" s="6">
        <f t="shared" si="2"/>
        <v>100</v>
      </c>
      <c r="V75" s="6">
        <f t="shared" si="3"/>
        <v>11.724999999999998</v>
      </c>
    </row>
    <row r="76" spans="6:38" x14ac:dyDescent="0.25">
      <c r="G76" s="6">
        <v>65</v>
      </c>
      <c r="H76" s="6">
        <v>3</v>
      </c>
      <c r="I76" s="6" t="s">
        <v>9</v>
      </c>
      <c r="J76" s="6" t="s">
        <v>7</v>
      </c>
      <c r="K76" s="6">
        <v>1260</v>
      </c>
      <c r="L76" s="6">
        <v>5</v>
      </c>
      <c r="N76" s="6">
        <f t="shared" ref="N76:N139" si="4">L76*H76</f>
        <v>15</v>
      </c>
      <c r="O76" s="6" t="s">
        <v>60</v>
      </c>
      <c r="P76" s="53">
        <v>3</v>
      </c>
      <c r="Q76" s="53" t="s">
        <v>9</v>
      </c>
      <c r="R76" s="53" t="s">
        <v>7</v>
      </c>
      <c r="S76" s="53">
        <v>1260</v>
      </c>
      <c r="T76" s="53">
        <v>5</v>
      </c>
      <c r="U76" s="6">
        <f t="shared" si="2"/>
        <v>15</v>
      </c>
      <c r="V76" s="6">
        <f t="shared" si="3"/>
        <v>1.7728200000000001</v>
      </c>
    </row>
    <row r="77" spans="6:38" x14ac:dyDescent="0.25">
      <c r="F77" s="6">
        <v>1</v>
      </c>
      <c r="G77" s="6">
        <v>66</v>
      </c>
      <c r="H77" s="6">
        <v>2</v>
      </c>
      <c r="I77" s="6" t="s">
        <v>9</v>
      </c>
      <c r="J77" s="6" t="s">
        <v>7</v>
      </c>
      <c r="K77" s="6">
        <v>1270</v>
      </c>
      <c r="L77" s="6">
        <v>5</v>
      </c>
      <c r="N77" s="6">
        <f t="shared" si="4"/>
        <v>10</v>
      </c>
      <c r="O77" s="6" t="s">
        <v>60</v>
      </c>
      <c r="P77" s="53">
        <v>2</v>
      </c>
      <c r="Q77" s="53" t="s">
        <v>9</v>
      </c>
      <c r="R77" s="53" t="s">
        <v>7</v>
      </c>
      <c r="S77" s="53">
        <v>1270</v>
      </c>
      <c r="T77" s="53">
        <v>5</v>
      </c>
      <c r="U77" s="6">
        <f t="shared" ref="U77:U78" si="5">P77*T77</f>
        <v>10</v>
      </c>
      <c r="V77" s="6">
        <f t="shared" si="3"/>
        <v>1.19126</v>
      </c>
    </row>
    <row r="78" spans="6:38" x14ac:dyDescent="0.25">
      <c r="G78" s="6">
        <v>67</v>
      </c>
      <c r="H78" s="6">
        <v>2</v>
      </c>
      <c r="I78" s="6" t="s">
        <v>9</v>
      </c>
      <c r="J78" s="6" t="s">
        <v>7</v>
      </c>
      <c r="K78" s="6">
        <v>1280</v>
      </c>
      <c r="L78" s="6">
        <v>5</v>
      </c>
      <c r="N78" s="6">
        <f t="shared" si="4"/>
        <v>10</v>
      </c>
      <c r="O78" s="6" t="s">
        <v>60</v>
      </c>
      <c r="P78" s="53">
        <v>2</v>
      </c>
      <c r="Q78" s="53" t="s">
        <v>9</v>
      </c>
      <c r="R78" s="53" t="s">
        <v>7</v>
      </c>
      <c r="S78" s="53">
        <v>1280</v>
      </c>
      <c r="T78" s="53">
        <v>5</v>
      </c>
      <c r="U78" s="6">
        <f t="shared" si="5"/>
        <v>10</v>
      </c>
      <c r="V78" s="6">
        <f t="shared" si="3"/>
        <v>1.2006399999999999</v>
      </c>
    </row>
    <row r="79" spans="6:38" x14ac:dyDescent="0.25">
      <c r="G79" s="6">
        <v>68</v>
      </c>
      <c r="H79" s="6">
        <v>2</v>
      </c>
      <c r="I79" s="6" t="s">
        <v>9</v>
      </c>
      <c r="J79" s="6" t="s">
        <v>7</v>
      </c>
      <c r="K79" s="6">
        <v>1290</v>
      </c>
      <c r="L79" s="6">
        <v>5</v>
      </c>
      <c r="N79" s="6">
        <f t="shared" si="4"/>
        <v>10</v>
      </c>
    </row>
    <row r="80" spans="6:38" x14ac:dyDescent="0.25">
      <c r="G80" s="6">
        <v>69</v>
      </c>
      <c r="H80" s="6">
        <v>1</v>
      </c>
      <c r="I80" s="6" t="s">
        <v>9</v>
      </c>
      <c r="J80" s="6" t="s">
        <v>7</v>
      </c>
      <c r="K80" s="6">
        <v>1340</v>
      </c>
      <c r="L80" s="6">
        <v>5</v>
      </c>
      <c r="N80" s="6">
        <f t="shared" si="4"/>
        <v>5</v>
      </c>
      <c r="O80" s="6" t="s">
        <v>60</v>
      </c>
      <c r="P80" s="53">
        <v>2</v>
      </c>
      <c r="Q80" s="53" t="s">
        <v>9</v>
      </c>
      <c r="R80" s="53" t="s">
        <v>7</v>
      </c>
      <c r="S80" s="53">
        <v>1290</v>
      </c>
      <c r="T80" s="53">
        <v>5</v>
      </c>
      <c r="U80" s="6">
        <f>P80*T80</f>
        <v>10</v>
      </c>
      <c r="V80" s="6">
        <f t="shared" ref="V80:V91" si="6">(0.137+0.05+0.05+0.002+0.002+0.048+0.048+0.132)*(S80/1000)*P80</f>
        <v>1.2100199999999999</v>
      </c>
      <c r="AL80" s="6">
        <v>21971</v>
      </c>
    </row>
    <row r="81" spans="7:22" x14ac:dyDescent="0.25">
      <c r="G81" s="6">
        <v>70</v>
      </c>
      <c r="H81" s="6">
        <v>2</v>
      </c>
      <c r="I81" s="6" t="s">
        <v>9</v>
      </c>
      <c r="J81" s="6" t="s">
        <v>7</v>
      </c>
      <c r="K81" s="6">
        <v>1360</v>
      </c>
      <c r="L81" s="6">
        <v>5</v>
      </c>
      <c r="N81" s="6">
        <f t="shared" si="4"/>
        <v>10</v>
      </c>
      <c r="O81" s="6" t="s">
        <v>60</v>
      </c>
      <c r="P81" s="53">
        <v>1</v>
      </c>
      <c r="Q81" s="53" t="s">
        <v>9</v>
      </c>
      <c r="R81" s="53" t="s">
        <v>7</v>
      </c>
      <c r="S81" s="53">
        <v>1340</v>
      </c>
      <c r="T81" s="53">
        <v>5</v>
      </c>
      <c r="U81" s="6">
        <f t="shared" ref="U81:U144" si="7">P81*T81</f>
        <v>5</v>
      </c>
      <c r="V81" s="6">
        <f t="shared" si="6"/>
        <v>0.62846000000000002</v>
      </c>
    </row>
    <row r="82" spans="7:22" x14ac:dyDescent="0.25">
      <c r="G82" s="6">
        <v>71</v>
      </c>
      <c r="H82" s="6">
        <v>7</v>
      </c>
      <c r="I82" s="6" t="s">
        <v>9</v>
      </c>
      <c r="J82" s="6" t="s">
        <v>7</v>
      </c>
      <c r="K82" s="6">
        <v>1490</v>
      </c>
      <c r="L82" s="6">
        <v>5</v>
      </c>
      <c r="N82" s="6">
        <f t="shared" si="4"/>
        <v>35</v>
      </c>
      <c r="O82" s="6" t="s">
        <v>60</v>
      </c>
      <c r="P82" s="53">
        <v>2</v>
      </c>
      <c r="Q82" s="53" t="s">
        <v>9</v>
      </c>
      <c r="R82" s="53" t="s">
        <v>7</v>
      </c>
      <c r="S82" s="53">
        <v>1360</v>
      </c>
      <c r="T82" s="53">
        <v>5</v>
      </c>
      <c r="U82" s="6">
        <f t="shared" si="7"/>
        <v>10</v>
      </c>
      <c r="V82" s="6">
        <f t="shared" si="6"/>
        <v>1.2756799999999999</v>
      </c>
    </row>
    <row r="83" spans="7:22" x14ac:dyDescent="0.25">
      <c r="G83" s="6">
        <v>72</v>
      </c>
      <c r="H83" s="6">
        <v>14</v>
      </c>
      <c r="I83" s="6" t="s">
        <v>9</v>
      </c>
      <c r="J83" s="6" t="s">
        <v>7</v>
      </c>
      <c r="K83" s="6">
        <v>1500</v>
      </c>
      <c r="L83" s="6">
        <v>5</v>
      </c>
      <c r="N83" s="6">
        <f t="shared" si="4"/>
        <v>70</v>
      </c>
      <c r="O83" s="6" t="s">
        <v>60</v>
      </c>
      <c r="P83" s="53">
        <v>7</v>
      </c>
      <c r="Q83" s="53" t="s">
        <v>9</v>
      </c>
      <c r="R83" s="53" t="s">
        <v>7</v>
      </c>
      <c r="S83" s="53">
        <v>1490</v>
      </c>
      <c r="T83" s="53">
        <v>5</v>
      </c>
      <c r="U83" s="6">
        <f t="shared" si="7"/>
        <v>35</v>
      </c>
      <c r="V83" s="6">
        <f t="shared" si="6"/>
        <v>4.8916699999999995</v>
      </c>
    </row>
    <row r="84" spans="7:22" x14ac:dyDescent="0.25">
      <c r="G84" s="6">
        <v>73</v>
      </c>
      <c r="H84" s="6">
        <v>2</v>
      </c>
      <c r="I84" s="6" t="s">
        <v>9</v>
      </c>
      <c r="J84" s="6" t="s">
        <v>7</v>
      </c>
      <c r="K84" s="6">
        <v>1520</v>
      </c>
      <c r="L84" s="6">
        <v>6</v>
      </c>
      <c r="N84" s="6">
        <f t="shared" si="4"/>
        <v>12</v>
      </c>
      <c r="O84" s="6" t="s">
        <v>60</v>
      </c>
      <c r="P84" s="53">
        <v>14</v>
      </c>
      <c r="Q84" s="53" t="s">
        <v>9</v>
      </c>
      <c r="R84" s="53" t="s">
        <v>7</v>
      </c>
      <c r="S84" s="53">
        <v>1500</v>
      </c>
      <c r="T84" s="53">
        <v>5</v>
      </c>
      <c r="U84" s="6">
        <f t="shared" si="7"/>
        <v>70</v>
      </c>
      <c r="V84" s="6">
        <f t="shared" si="6"/>
        <v>9.8490000000000002</v>
      </c>
    </row>
    <row r="85" spans="7:22" x14ac:dyDescent="0.25">
      <c r="G85" s="6">
        <v>74</v>
      </c>
      <c r="H85" s="6">
        <v>1</v>
      </c>
      <c r="I85" s="6" t="s">
        <v>9</v>
      </c>
      <c r="J85" s="6" t="s">
        <v>7</v>
      </c>
      <c r="K85" s="6">
        <v>1530</v>
      </c>
      <c r="L85" s="6">
        <v>6</v>
      </c>
      <c r="N85" s="6">
        <f t="shared" si="4"/>
        <v>6</v>
      </c>
      <c r="O85" s="6" t="s">
        <v>60</v>
      </c>
      <c r="P85" s="53">
        <v>2</v>
      </c>
      <c r="Q85" s="53" t="s">
        <v>9</v>
      </c>
      <c r="R85" s="53" t="s">
        <v>7</v>
      </c>
      <c r="S85" s="53">
        <v>1520</v>
      </c>
      <c r="T85" s="53">
        <v>6</v>
      </c>
      <c r="U85" s="6">
        <f t="shared" si="7"/>
        <v>12</v>
      </c>
      <c r="V85" s="6">
        <f t="shared" si="6"/>
        <v>1.4257599999999999</v>
      </c>
    </row>
    <row r="86" spans="7:22" x14ac:dyDescent="0.25">
      <c r="G86" s="6">
        <v>75</v>
      </c>
      <c r="H86" s="6">
        <v>8</v>
      </c>
      <c r="I86" s="6" t="s">
        <v>9</v>
      </c>
      <c r="J86" s="6" t="s">
        <v>7</v>
      </c>
      <c r="K86" s="6">
        <v>1870</v>
      </c>
      <c r="L86" s="6">
        <v>7</v>
      </c>
      <c r="N86" s="6">
        <f t="shared" si="4"/>
        <v>56</v>
      </c>
      <c r="O86" s="6" t="s">
        <v>60</v>
      </c>
      <c r="P86" s="53">
        <v>1</v>
      </c>
      <c r="Q86" s="53" t="s">
        <v>9</v>
      </c>
      <c r="R86" s="53" t="s">
        <v>7</v>
      </c>
      <c r="S86" s="53">
        <v>1530</v>
      </c>
      <c r="T86" s="53">
        <v>6</v>
      </c>
      <c r="U86" s="6">
        <f t="shared" si="7"/>
        <v>6</v>
      </c>
      <c r="V86" s="6">
        <f t="shared" si="6"/>
        <v>0.71756999999999993</v>
      </c>
    </row>
    <row r="87" spans="7:22" x14ac:dyDescent="0.25">
      <c r="G87" s="6">
        <v>76</v>
      </c>
      <c r="H87" s="6">
        <v>10</v>
      </c>
      <c r="I87" s="6" t="s">
        <v>9</v>
      </c>
      <c r="J87" s="6" t="s">
        <v>7</v>
      </c>
      <c r="K87" s="6">
        <v>1980</v>
      </c>
      <c r="L87" s="6">
        <v>7</v>
      </c>
      <c r="N87" s="6">
        <f t="shared" si="4"/>
        <v>70</v>
      </c>
      <c r="O87" s="6" t="s">
        <v>60</v>
      </c>
      <c r="P87" s="53">
        <v>8</v>
      </c>
      <c r="Q87" s="53" t="s">
        <v>9</v>
      </c>
      <c r="R87" s="53" t="s">
        <v>7</v>
      </c>
      <c r="S87" s="53">
        <v>1870</v>
      </c>
      <c r="T87" s="53">
        <v>7</v>
      </c>
      <c r="U87" s="6">
        <f t="shared" si="7"/>
        <v>56</v>
      </c>
      <c r="V87" s="6">
        <f t="shared" si="6"/>
        <v>7.0162399999999998</v>
      </c>
    </row>
    <row r="88" spans="7:22" x14ac:dyDescent="0.25">
      <c r="G88" s="6">
        <v>77</v>
      </c>
      <c r="H88" s="6">
        <v>2</v>
      </c>
      <c r="I88" s="6" t="s">
        <v>9</v>
      </c>
      <c r="J88" s="6" t="s">
        <v>7</v>
      </c>
      <c r="K88" s="6">
        <v>1990</v>
      </c>
      <c r="L88" s="6">
        <v>7</v>
      </c>
      <c r="N88" s="6">
        <f t="shared" si="4"/>
        <v>14</v>
      </c>
      <c r="O88" s="6" t="s">
        <v>60</v>
      </c>
      <c r="P88" s="53">
        <v>10</v>
      </c>
      <c r="Q88" s="53" t="s">
        <v>9</v>
      </c>
      <c r="R88" s="53" t="s">
        <v>7</v>
      </c>
      <c r="S88" s="53">
        <v>1980</v>
      </c>
      <c r="T88" s="53">
        <v>7</v>
      </c>
      <c r="U88" s="6">
        <f t="shared" si="7"/>
        <v>70</v>
      </c>
      <c r="V88" s="6">
        <f t="shared" si="6"/>
        <v>9.2861999999999991</v>
      </c>
    </row>
    <row r="89" spans="7:22" x14ac:dyDescent="0.25">
      <c r="G89" s="6">
        <v>78</v>
      </c>
      <c r="H89" s="6">
        <v>4</v>
      </c>
      <c r="I89" s="6" t="s">
        <v>9</v>
      </c>
      <c r="J89" s="6" t="s">
        <v>7</v>
      </c>
      <c r="K89" s="6">
        <v>2040</v>
      </c>
      <c r="L89" s="6">
        <v>7</v>
      </c>
      <c r="N89" s="6">
        <f t="shared" si="4"/>
        <v>28</v>
      </c>
      <c r="O89" s="6" t="s">
        <v>60</v>
      </c>
      <c r="P89" s="53">
        <v>2</v>
      </c>
      <c r="Q89" s="53" t="s">
        <v>9</v>
      </c>
      <c r="R89" s="53" t="s">
        <v>7</v>
      </c>
      <c r="S89" s="53">
        <v>1990</v>
      </c>
      <c r="T89" s="53">
        <v>7</v>
      </c>
      <c r="U89" s="6">
        <f t="shared" si="7"/>
        <v>14</v>
      </c>
      <c r="V89" s="6">
        <f t="shared" si="6"/>
        <v>1.8666199999999999</v>
      </c>
    </row>
    <row r="90" spans="7:22" x14ac:dyDescent="0.25">
      <c r="G90" s="6">
        <v>79</v>
      </c>
      <c r="H90" s="6">
        <v>6</v>
      </c>
      <c r="I90" s="6" t="s">
        <v>9</v>
      </c>
      <c r="J90" s="6" t="s">
        <v>7</v>
      </c>
      <c r="K90" s="6">
        <v>2090</v>
      </c>
      <c r="L90" s="6">
        <v>8</v>
      </c>
      <c r="N90" s="6">
        <f t="shared" si="4"/>
        <v>48</v>
      </c>
      <c r="O90" s="6" t="s">
        <v>60</v>
      </c>
      <c r="P90" s="53">
        <v>4</v>
      </c>
      <c r="Q90" s="53" t="s">
        <v>9</v>
      </c>
      <c r="R90" s="53" t="s">
        <v>7</v>
      </c>
      <c r="S90" s="53">
        <v>2040</v>
      </c>
      <c r="T90" s="53">
        <v>7</v>
      </c>
      <c r="U90" s="6">
        <f t="shared" si="7"/>
        <v>28</v>
      </c>
      <c r="V90" s="6">
        <f t="shared" si="6"/>
        <v>3.8270399999999998</v>
      </c>
    </row>
    <row r="91" spans="7:22" x14ac:dyDescent="0.25">
      <c r="G91" s="6">
        <v>80</v>
      </c>
      <c r="H91" s="6">
        <v>4</v>
      </c>
      <c r="I91" s="6" t="s">
        <v>10</v>
      </c>
      <c r="J91" s="6" t="s">
        <v>7</v>
      </c>
      <c r="K91" s="6">
        <v>530</v>
      </c>
      <c r="L91" s="6">
        <v>6</v>
      </c>
      <c r="N91" s="6">
        <f t="shared" si="4"/>
        <v>24</v>
      </c>
      <c r="O91" s="6" t="s">
        <v>60</v>
      </c>
      <c r="P91" s="53">
        <v>6</v>
      </c>
      <c r="Q91" s="53" t="s">
        <v>9</v>
      </c>
      <c r="R91" s="53" t="s">
        <v>7</v>
      </c>
      <c r="S91" s="53">
        <v>2090</v>
      </c>
      <c r="T91" s="53">
        <v>8</v>
      </c>
      <c r="U91" s="6">
        <f t="shared" si="7"/>
        <v>48</v>
      </c>
      <c r="V91" s="6">
        <f t="shared" si="6"/>
        <v>5.8812599999999993</v>
      </c>
    </row>
    <row r="92" spans="7:22" x14ac:dyDescent="0.25">
      <c r="G92" s="6">
        <v>81</v>
      </c>
      <c r="H92" s="6">
        <v>2</v>
      </c>
      <c r="I92" s="6" t="s">
        <v>10</v>
      </c>
      <c r="J92" s="6" t="s">
        <v>7</v>
      </c>
      <c r="K92" s="6">
        <v>540</v>
      </c>
      <c r="L92" s="6">
        <v>6</v>
      </c>
      <c r="N92" s="6">
        <f t="shared" si="4"/>
        <v>12</v>
      </c>
      <c r="O92" s="6" t="s">
        <v>60</v>
      </c>
      <c r="P92" s="53">
        <v>4</v>
      </c>
      <c r="Q92" s="53" t="s">
        <v>10</v>
      </c>
      <c r="R92" s="53" t="s">
        <v>7</v>
      </c>
      <c r="S92" s="53">
        <v>530</v>
      </c>
      <c r="T92" s="53">
        <v>6</v>
      </c>
      <c r="U92" s="6">
        <f t="shared" si="7"/>
        <v>24</v>
      </c>
      <c r="V92" s="6">
        <f t="shared" ref="V92:V132" si="8">(0.15+0.07+0.07+0.00475+0.00475+0.06525+0.06525+0.1405)*(S92/1000)*P92</f>
        <v>1.20946</v>
      </c>
    </row>
    <row r="93" spans="7:22" x14ac:dyDescent="0.25">
      <c r="G93" s="6">
        <v>82</v>
      </c>
      <c r="H93" s="6">
        <v>4</v>
      </c>
      <c r="I93" s="6" t="s">
        <v>10</v>
      </c>
      <c r="J93" s="6" t="s">
        <v>7</v>
      </c>
      <c r="K93" s="6">
        <v>720</v>
      </c>
      <c r="L93" s="6">
        <v>8</v>
      </c>
      <c r="N93" s="6">
        <f t="shared" si="4"/>
        <v>32</v>
      </c>
      <c r="O93" s="6" t="s">
        <v>60</v>
      </c>
      <c r="P93" s="53">
        <v>2</v>
      </c>
      <c r="Q93" s="53" t="s">
        <v>10</v>
      </c>
      <c r="R93" s="53" t="s">
        <v>7</v>
      </c>
      <c r="S93" s="53">
        <v>540</v>
      </c>
      <c r="T93" s="53">
        <v>6</v>
      </c>
      <c r="U93" s="6">
        <f t="shared" si="7"/>
        <v>12</v>
      </c>
      <c r="V93" s="6">
        <f t="shared" si="8"/>
        <v>0.61614000000000002</v>
      </c>
    </row>
    <row r="94" spans="7:22" x14ac:dyDescent="0.25">
      <c r="G94" s="6">
        <v>83</v>
      </c>
      <c r="H94" s="6">
        <v>6</v>
      </c>
      <c r="I94" s="6" t="s">
        <v>10</v>
      </c>
      <c r="J94" s="6" t="s">
        <v>7</v>
      </c>
      <c r="K94" s="6">
        <v>750</v>
      </c>
      <c r="L94" s="6">
        <v>8</v>
      </c>
      <c r="N94" s="6">
        <f t="shared" si="4"/>
        <v>48</v>
      </c>
      <c r="O94" s="6" t="s">
        <v>60</v>
      </c>
      <c r="P94" s="53">
        <v>4</v>
      </c>
      <c r="Q94" s="53" t="s">
        <v>10</v>
      </c>
      <c r="R94" s="53" t="s">
        <v>7</v>
      </c>
      <c r="S94" s="53">
        <v>720</v>
      </c>
      <c r="T94" s="53">
        <v>8</v>
      </c>
      <c r="U94" s="6">
        <f t="shared" si="7"/>
        <v>32</v>
      </c>
      <c r="V94" s="6">
        <f t="shared" si="8"/>
        <v>1.6430400000000001</v>
      </c>
    </row>
    <row r="95" spans="7:22" x14ac:dyDescent="0.25">
      <c r="G95" s="6">
        <v>84</v>
      </c>
      <c r="H95" s="6">
        <v>22</v>
      </c>
      <c r="I95" s="6" t="s">
        <v>10</v>
      </c>
      <c r="J95" s="6" t="s">
        <v>7</v>
      </c>
      <c r="K95" s="6">
        <v>820</v>
      </c>
      <c r="L95" s="6">
        <v>9</v>
      </c>
      <c r="N95" s="6">
        <f t="shared" si="4"/>
        <v>198</v>
      </c>
      <c r="O95" s="6" t="s">
        <v>60</v>
      </c>
      <c r="P95" s="53">
        <v>6</v>
      </c>
      <c r="Q95" s="53" t="s">
        <v>10</v>
      </c>
      <c r="R95" s="53" t="s">
        <v>7</v>
      </c>
      <c r="S95" s="53">
        <v>750</v>
      </c>
      <c r="T95" s="53">
        <v>8</v>
      </c>
      <c r="U95" s="6">
        <f t="shared" si="7"/>
        <v>48</v>
      </c>
      <c r="V95" s="6">
        <f t="shared" si="8"/>
        <v>2.56725</v>
      </c>
    </row>
    <row r="96" spans="7:22" x14ac:dyDescent="0.25">
      <c r="G96" s="6">
        <v>85</v>
      </c>
      <c r="H96" s="6">
        <v>1</v>
      </c>
      <c r="I96" s="6" t="s">
        <v>10</v>
      </c>
      <c r="J96" s="6" t="s">
        <v>7</v>
      </c>
      <c r="K96" s="6">
        <v>900</v>
      </c>
      <c r="L96" s="6">
        <v>9</v>
      </c>
      <c r="N96" s="6">
        <f t="shared" si="4"/>
        <v>9</v>
      </c>
      <c r="O96" s="6" t="s">
        <v>60</v>
      </c>
      <c r="P96" s="53">
        <v>22</v>
      </c>
      <c r="Q96" s="53" t="s">
        <v>10</v>
      </c>
      <c r="R96" s="53" t="s">
        <v>7</v>
      </c>
      <c r="S96" s="53">
        <v>820</v>
      </c>
      <c r="T96" s="53">
        <v>9</v>
      </c>
      <c r="U96" s="6">
        <f t="shared" si="7"/>
        <v>198</v>
      </c>
      <c r="V96" s="6">
        <f t="shared" si="8"/>
        <v>10.29182</v>
      </c>
    </row>
    <row r="97" spans="7:22" x14ac:dyDescent="0.25">
      <c r="G97" s="6">
        <v>86</v>
      </c>
      <c r="H97" s="6">
        <v>4</v>
      </c>
      <c r="I97" s="6" t="s">
        <v>10</v>
      </c>
      <c r="J97" s="6" t="s">
        <v>7</v>
      </c>
      <c r="K97" s="6">
        <v>2900</v>
      </c>
      <c r="L97" s="6">
        <v>30</v>
      </c>
      <c r="N97" s="6">
        <f t="shared" si="4"/>
        <v>120</v>
      </c>
      <c r="O97" s="6" t="s">
        <v>60</v>
      </c>
      <c r="P97" s="53">
        <v>1</v>
      </c>
      <c r="Q97" s="53" t="s">
        <v>10</v>
      </c>
      <c r="R97" s="53" t="s">
        <v>7</v>
      </c>
      <c r="S97" s="53">
        <v>900</v>
      </c>
      <c r="T97" s="53">
        <v>9</v>
      </c>
      <c r="U97" s="6">
        <f t="shared" si="7"/>
        <v>9</v>
      </c>
      <c r="V97" s="6">
        <f t="shared" si="8"/>
        <v>0.51345000000000007</v>
      </c>
    </row>
    <row r="98" spans="7:22" x14ac:dyDescent="0.25">
      <c r="G98" s="6">
        <v>87</v>
      </c>
      <c r="H98" s="6">
        <v>3</v>
      </c>
      <c r="I98" s="6" t="s">
        <v>10</v>
      </c>
      <c r="J98" s="6" t="s">
        <v>7</v>
      </c>
      <c r="K98" s="6">
        <v>2910</v>
      </c>
      <c r="L98" s="6">
        <v>30</v>
      </c>
      <c r="N98" s="6">
        <f t="shared" si="4"/>
        <v>90</v>
      </c>
      <c r="O98" s="6" t="s">
        <v>60</v>
      </c>
      <c r="P98" s="53">
        <v>4</v>
      </c>
      <c r="Q98" s="53" t="s">
        <v>10</v>
      </c>
      <c r="R98" s="53" t="s">
        <v>7</v>
      </c>
      <c r="S98" s="53">
        <v>2900</v>
      </c>
      <c r="T98" s="53">
        <v>30</v>
      </c>
      <c r="U98" s="6">
        <f t="shared" si="7"/>
        <v>120</v>
      </c>
      <c r="V98" s="6">
        <f t="shared" si="8"/>
        <v>6.6177999999999999</v>
      </c>
    </row>
    <row r="99" spans="7:22" x14ac:dyDescent="0.25">
      <c r="G99" s="6">
        <v>88</v>
      </c>
      <c r="H99" s="6">
        <v>1</v>
      </c>
      <c r="I99" s="6" t="s">
        <v>10</v>
      </c>
      <c r="J99" s="6" t="s">
        <v>7</v>
      </c>
      <c r="K99" s="6">
        <v>2920</v>
      </c>
      <c r="L99" s="6">
        <v>31</v>
      </c>
      <c r="N99" s="6">
        <f t="shared" si="4"/>
        <v>31</v>
      </c>
      <c r="O99" s="6" t="s">
        <v>60</v>
      </c>
      <c r="P99" s="53">
        <v>3</v>
      </c>
      <c r="Q99" s="53" t="s">
        <v>10</v>
      </c>
      <c r="R99" s="53" t="s">
        <v>7</v>
      </c>
      <c r="S99" s="53">
        <v>2910</v>
      </c>
      <c r="T99" s="53">
        <v>30</v>
      </c>
      <c r="U99" s="6">
        <f t="shared" si="7"/>
        <v>90</v>
      </c>
      <c r="V99" s="6">
        <f t="shared" si="8"/>
        <v>4.9804650000000006</v>
      </c>
    </row>
    <row r="100" spans="7:22" x14ac:dyDescent="0.25">
      <c r="G100" s="6">
        <v>89</v>
      </c>
      <c r="H100" s="6">
        <v>6</v>
      </c>
      <c r="I100" s="6" t="s">
        <v>10</v>
      </c>
      <c r="J100" s="6" t="s">
        <v>7</v>
      </c>
      <c r="K100" s="6">
        <v>3000</v>
      </c>
      <c r="L100" s="6">
        <v>31</v>
      </c>
      <c r="N100" s="6">
        <f t="shared" si="4"/>
        <v>186</v>
      </c>
      <c r="O100" s="6" t="s">
        <v>60</v>
      </c>
      <c r="P100" s="53">
        <v>1</v>
      </c>
      <c r="Q100" s="53" t="s">
        <v>10</v>
      </c>
      <c r="R100" s="53" t="s">
        <v>7</v>
      </c>
      <c r="S100" s="53">
        <v>2920</v>
      </c>
      <c r="T100" s="53">
        <v>31</v>
      </c>
      <c r="U100" s="6">
        <f t="shared" si="7"/>
        <v>31</v>
      </c>
      <c r="V100" s="6">
        <f t="shared" si="8"/>
        <v>1.6658599999999999</v>
      </c>
    </row>
    <row r="101" spans="7:22" x14ac:dyDescent="0.25">
      <c r="G101" s="6">
        <v>90</v>
      </c>
      <c r="H101" s="6">
        <v>5</v>
      </c>
      <c r="I101" s="6" t="s">
        <v>10</v>
      </c>
      <c r="J101" s="6" t="s">
        <v>7</v>
      </c>
      <c r="K101" s="6">
        <v>3040</v>
      </c>
      <c r="L101" s="6">
        <v>32</v>
      </c>
      <c r="N101" s="6">
        <f t="shared" si="4"/>
        <v>160</v>
      </c>
      <c r="O101" s="6" t="s">
        <v>60</v>
      </c>
      <c r="P101" s="53">
        <v>6</v>
      </c>
      <c r="Q101" s="53" t="s">
        <v>10</v>
      </c>
      <c r="R101" s="53" t="s">
        <v>7</v>
      </c>
      <c r="S101" s="53">
        <v>3000</v>
      </c>
      <c r="T101" s="53">
        <v>31</v>
      </c>
      <c r="U101" s="6">
        <f t="shared" si="7"/>
        <v>186</v>
      </c>
      <c r="V101" s="6">
        <f t="shared" si="8"/>
        <v>10.269</v>
      </c>
    </row>
    <row r="102" spans="7:22" x14ac:dyDescent="0.25">
      <c r="G102" s="6">
        <v>91</v>
      </c>
      <c r="H102" s="6">
        <v>1</v>
      </c>
      <c r="I102" s="6" t="s">
        <v>10</v>
      </c>
      <c r="J102" s="6" t="s">
        <v>7</v>
      </c>
      <c r="K102" s="6">
        <v>3290</v>
      </c>
      <c r="L102" s="6">
        <v>34</v>
      </c>
      <c r="N102" s="6">
        <f t="shared" si="4"/>
        <v>34</v>
      </c>
      <c r="O102" s="6" t="s">
        <v>60</v>
      </c>
      <c r="P102" s="53">
        <v>5</v>
      </c>
      <c r="Q102" s="53" t="s">
        <v>10</v>
      </c>
      <c r="R102" s="53" t="s">
        <v>7</v>
      </c>
      <c r="S102" s="53">
        <v>3040</v>
      </c>
      <c r="T102" s="53">
        <v>32</v>
      </c>
      <c r="U102" s="6">
        <f t="shared" si="7"/>
        <v>160</v>
      </c>
      <c r="V102" s="6">
        <f t="shared" si="8"/>
        <v>8.6715999999999998</v>
      </c>
    </row>
    <row r="103" spans="7:22" x14ac:dyDescent="0.25">
      <c r="G103" s="6">
        <v>92</v>
      </c>
      <c r="H103" s="6">
        <v>1</v>
      </c>
      <c r="I103" s="6" t="s">
        <v>10</v>
      </c>
      <c r="J103" s="6" t="s">
        <v>7</v>
      </c>
      <c r="K103" s="6">
        <v>3340</v>
      </c>
      <c r="L103" s="6">
        <v>35</v>
      </c>
      <c r="N103" s="6">
        <f t="shared" si="4"/>
        <v>35</v>
      </c>
      <c r="O103" s="6" t="s">
        <v>60</v>
      </c>
      <c r="P103" s="53">
        <v>1</v>
      </c>
      <c r="Q103" s="53" t="s">
        <v>10</v>
      </c>
      <c r="R103" s="53" t="s">
        <v>7</v>
      </c>
      <c r="S103" s="53">
        <v>3290</v>
      </c>
      <c r="T103" s="53">
        <v>34</v>
      </c>
      <c r="U103" s="6">
        <f t="shared" si="7"/>
        <v>34</v>
      </c>
      <c r="V103" s="6">
        <f t="shared" si="8"/>
        <v>1.8769450000000001</v>
      </c>
    </row>
    <row r="104" spans="7:22" x14ac:dyDescent="0.25">
      <c r="G104" s="6">
        <v>93</v>
      </c>
      <c r="H104" s="6">
        <v>5</v>
      </c>
      <c r="I104" s="6" t="s">
        <v>10</v>
      </c>
      <c r="J104" s="6" t="s">
        <v>7</v>
      </c>
      <c r="K104" s="6">
        <v>3350</v>
      </c>
      <c r="L104" s="6">
        <v>35</v>
      </c>
      <c r="N104" s="6">
        <f t="shared" si="4"/>
        <v>175</v>
      </c>
      <c r="O104" s="6" t="s">
        <v>60</v>
      </c>
      <c r="P104" s="53">
        <v>1</v>
      </c>
      <c r="Q104" s="53" t="s">
        <v>10</v>
      </c>
      <c r="R104" s="53" t="s">
        <v>7</v>
      </c>
      <c r="S104" s="53">
        <v>3340</v>
      </c>
      <c r="T104" s="53">
        <v>35</v>
      </c>
      <c r="U104" s="6">
        <f t="shared" si="7"/>
        <v>35</v>
      </c>
      <c r="V104" s="6">
        <f t="shared" si="8"/>
        <v>1.90547</v>
      </c>
    </row>
    <row r="105" spans="7:22" x14ac:dyDescent="0.25">
      <c r="G105" s="6">
        <v>94</v>
      </c>
      <c r="H105" s="6">
        <v>6</v>
      </c>
      <c r="I105" s="6" t="s">
        <v>10</v>
      </c>
      <c r="J105" s="6" t="s">
        <v>7</v>
      </c>
      <c r="K105" s="6">
        <v>3360</v>
      </c>
      <c r="L105" s="6">
        <v>35</v>
      </c>
      <c r="N105" s="6">
        <f t="shared" si="4"/>
        <v>210</v>
      </c>
      <c r="O105" s="6" t="s">
        <v>60</v>
      </c>
      <c r="P105" s="53">
        <v>5</v>
      </c>
      <c r="Q105" s="53" t="s">
        <v>10</v>
      </c>
      <c r="R105" s="53" t="s">
        <v>7</v>
      </c>
      <c r="S105" s="53">
        <v>3350</v>
      </c>
      <c r="T105" s="53">
        <v>35</v>
      </c>
      <c r="U105" s="6">
        <f t="shared" si="7"/>
        <v>175</v>
      </c>
      <c r="V105" s="6">
        <f t="shared" si="8"/>
        <v>9.5558750000000003</v>
      </c>
    </row>
    <row r="106" spans="7:22" x14ac:dyDescent="0.25">
      <c r="G106" s="6">
        <v>95</v>
      </c>
      <c r="H106" s="6">
        <v>1</v>
      </c>
      <c r="I106" s="6" t="s">
        <v>10</v>
      </c>
      <c r="J106" s="6" t="s">
        <v>7</v>
      </c>
      <c r="K106" s="6">
        <v>3370</v>
      </c>
      <c r="L106" s="6">
        <v>35</v>
      </c>
      <c r="N106" s="6">
        <f t="shared" si="4"/>
        <v>35</v>
      </c>
      <c r="O106" s="6" t="s">
        <v>60</v>
      </c>
      <c r="P106" s="53">
        <v>6</v>
      </c>
      <c r="Q106" s="53" t="s">
        <v>10</v>
      </c>
      <c r="R106" s="53" t="s">
        <v>7</v>
      </c>
      <c r="S106" s="53">
        <v>3360</v>
      </c>
      <c r="T106" s="53">
        <v>35</v>
      </c>
      <c r="U106" s="6">
        <f t="shared" si="7"/>
        <v>210</v>
      </c>
      <c r="V106" s="6">
        <f t="shared" si="8"/>
        <v>11.50128</v>
      </c>
    </row>
    <row r="107" spans="7:22" x14ac:dyDescent="0.25">
      <c r="G107" s="6">
        <v>96</v>
      </c>
      <c r="H107" s="6">
        <v>1</v>
      </c>
      <c r="I107" s="6" t="s">
        <v>10</v>
      </c>
      <c r="J107" s="6" t="s">
        <v>7</v>
      </c>
      <c r="K107" s="6">
        <v>3380</v>
      </c>
      <c r="L107" s="6">
        <v>35</v>
      </c>
      <c r="N107" s="6">
        <f t="shared" si="4"/>
        <v>35</v>
      </c>
      <c r="O107" s="6" t="s">
        <v>60</v>
      </c>
      <c r="P107" s="53">
        <v>1</v>
      </c>
      <c r="Q107" s="53" t="s">
        <v>10</v>
      </c>
      <c r="R107" s="53" t="s">
        <v>7</v>
      </c>
      <c r="S107" s="53">
        <v>3370</v>
      </c>
      <c r="T107" s="53">
        <v>35</v>
      </c>
      <c r="U107" s="6">
        <f t="shared" si="7"/>
        <v>35</v>
      </c>
      <c r="V107" s="6">
        <f t="shared" si="8"/>
        <v>1.922585</v>
      </c>
    </row>
    <row r="108" spans="7:22" x14ac:dyDescent="0.25">
      <c r="G108" s="6">
        <v>97</v>
      </c>
      <c r="H108" s="6">
        <v>10</v>
      </c>
      <c r="I108" s="6" t="s">
        <v>10</v>
      </c>
      <c r="J108" s="6" t="s">
        <v>7</v>
      </c>
      <c r="K108" s="6">
        <v>3410</v>
      </c>
      <c r="L108" s="6">
        <v>36</v>
      </c>
      <c r="N108" s="6">
        <f t="shared" si="4"/>
        <v>360</v>
      </c>
      <c r="O108" s="6" t="s">
        <v>60</v>
      </c>
      <c r="P108" s="53">
        <v>1</v>
      </c>
      <c r="Q108" s="53" t="s">
        <v>10</v>
      </c>
      <c r="R108" s="53" t="s">
        <v>7</v>
      </c>
      <c r="S108" s="53">
        <v>3380</v>
      </c>
      <c r="T108" s="53">
        <v>35</v>
      </c>
      <c r="U108" s="6">
        <f t="shared" si="7"/>
        <v>35</v>
      </c>
      <c r="V108" s="6">
        <f t="shared" si="8"/>
        <v>1.9282900000000001</v>
      </c>
    </row>
    <row r="109" spans="7:22" x14ac:dyDescent="0.25">
      <c r="G109" s="6">
        <v>98</v>
      </c>
      <c r="H109" s="6">
        <v>2</v>
      </c>
      <c r="I109" s="6" t="s">
        <v>10</v>
      </c>
      <c r="J109" s="6" t="s">
        <v>7</v>
      </c>
      <c r="K109" s="6">
        <v>3500</v>
      </c>
      <c r="L109" s="6">
        <v>37</v>
      </c>
      <c r="N109" s="6">
        <f t="shared" si="4"/>
        <v>74</v>
      </c>
      <c r="O109" s="6" t="s">
        <v>60</v>
      </c>
      <c r="P109" s="53">
        <v>10</v>
      </c>
      <c r="Q109" s="53" t="s">
        <v>10</v>
      </c>
      <c r="R109" s="53" t="s">
        <v>7</v>
      </c>
      <c r="S109" s="53">
        <v>3410</v>
      </c>
      <c r="T109" s="53">
        <v>36</v>
      </c>
      <c r="U109" s="6">
        <f t="shared" si="7"/>
        <v>360</v>
      </c>
      <c r="V109" s="6">
        <f t="shared" si="8"/>
        <v>19.454050000000002</v>
      </c>
    </row>
    <row r="110" spans="7:22" x14ac:dyDescent="0.25">
      <c r="G110" s="6">
        <v>99</v>
      </c>
      <c r="H110" s="6">
        <v>4</v>
      </c>
      <c r="I110" s="6" t="s">
        <v>10</v>
      </c>
      <c r="J110" s="6" t="s">
        <v>7</v>
      </c>
      <c r="K110" s="6">
        <v>3600</v>
      </c>
      <c r="L110" s="6">
        <v>38</v>
      </c>
      <c r="N110" s="6">
        <f t="shared" si="4"/>
        <v>152</v>
      </c>
      <c r="O110" s="6" t="s">
        <v>60</v>
      </c>
      <c r="P110" s="53">
        <v>2</v>
      </c>
      <c r="Q110" s="53" t="s">
        <v>10</v>
      </c>
      <c r="R110" s="53" t="s">
        <v>7</v>
      </c>
      <c r="S110" s="53">
        <v>3500</v>
      </c>
      <c r="T110" s="53">
        <v>37</v>
      </c>
      <c r="U110" s="6">
        <f t="shared" si="7"/>
        <v>74</v>
      </c>
      <c r="V110" s="6">
        <f t="shared" si="8"/>
        <v>3.9935</v>
      </c>
    </row>
    <row r="111" spans="7:22" x14ac:dyDescent="0.25">
      <c r="G111" s="6">
        <v>100</v>
      </c>
      <c r="H111" s="6">
        <v>2</v>
      </c>
      <c r="I111" s="6" t="s">
        <v>10</v>
      </c>
      <c r="J111" s="6" t="s">
        <v>7</v>
      </c>
      <c r="K111" s="6">
        <v>3820</v>
      </c>
      <c r="L111" s="6">
        <v>40</v>
      </c>
      <c r="N111" s="6">
        <f t="shared" si="4"/>
        <v>80</v>
      </c>
      <c r="O111" s="6" t="s">
        <v>60</v>
      </c>
      <c r="P111" s="53">
        <v>4</v>
      </c>
      <c r="Q111" s="53" t="s">
        <v>10</v>
      </c>
      <c r="R111" s="53" t="s">
        <v>7</v>
      </c>
      <c r="S111" s="53">
        <v>3600</v>
      </c>
      <c r="T111" s="53">
        <v>38</v>
      </c>
      <c r="U111" s="6">
        <f t="shared" si="7"/>
        <v>152</v>
      </c>
      <c r="V111" s="6">
        <f t="shared" si="8"/>
        <v>8.2152000000000012</v>
      </c>
    </row>
    <row r="112" spans="7:22" x14ac:dyDescent="0.25">
      <c r="G112" s="6">
        <v>101</v>
      </c>
      <c r="H112" s="6">
        <v>1</v>
      </c>
      <c r="I112" s="6" t="s">
        <v>10</v>
      </c>
      <c r="J112" s="6" t="s">
        <v>7</v>
      </c>
      <c r="K112" s="6">
        <v>3880</v>
      </c>
      <c r="L112" s="6">
        <v>41</v>
      </c>
      <c r="N112" s="6">
        <f t="shared" si="4"/>
        <v>41</v>
      </c>
      <c r="O112" s="6" t="s">
        <v>60</v>
      </c>
      <c r="P112" s="53">
        <v>2</v>
      </c>
      <c r="Q112" s="53" t="s">
        <v>10</v>
      </c>
      <c r="R112" s="53" t="s">
        <v>7</v>
      </c>
      <c r="S112" s="53">
        <v>3820</v>
      </c>
      <c r="T112" s="53">
        <v>40</v>
      </c>
      <c r="U112" s="6">
        <f t="shared" si="7"/>
        <v>80</v>
      </c>
      <c r="V112" s="6">
        <f t="shared" si="8"/>
        <v>4.3586200000000002</v>
      </c>
    </row>
    <row r="113" spans="7:22" x14ac:dyDescent="0.25">
      <c r="G113" s="6">
        <v>102</v>
      </c>
      <c r="H113" s="6">
        <v>2</v>
      </c>
      <c r="I113" s="6" t="s">
        <v>10</v>
      </c>
      <c r="J113" s="6" t="s">
        <v>7</v>
      </c>
      <c r="K113" s="6">
        <v>4140</v>
      </c>
      <c r="L113" s="6">
        <v>43</v>
      </c>
      <c r="N113" s="6">
        <f t="shared" si="4"/>
        <v>86</v>
      </c>
      <c r="O113" s="6" t="s">
        <v>60</v>
      </c>
      <c r="P113" s="53">
        <v>1</v>
      </c>
      <c r="Q113" s="53" t="s">
        <v>10</v>
      </c>
      <c r="R113" s="53" t="s">
        <v>7</v>
      </c>
      <c r="S113" s="53">
        <v>3880</v>
      </c>
      <c r="T113" s="53">
        <v>41</v>
      </c>
      <c r="U113" s="6">
        <f t="shared" si="7"/>
        <v>41</v>
      </c>
      <c r="V113" s="6">
        <f t="shared" si="8"/>
        <v>2.2135400000000001</v>
      </c>
    </row>
    <row r="114" spans="7:22" x14ac:dyDescent="0.25">
      <c r="G114" s="6">
        <v>103</v>
      </c>
      <c r="H114" s="6">
        <v>2</v>
      </c>
      <c r="I114" s="6" t="s">
        <v>10</v>
      </c>
      <c r="J114" s="6" t="s">
        <v>7</v>
      </c>
      <c r="K114" s="6">
        <v>4410</v>
      </c>
      <c r="L114" s="6">
        <v>46</v>
      </c>
      <c r="N114" s="6">
        <f t="shared" si="4"/>
        <v>92</v>
      </c>
      <c r="O114" s="6" t="s">
        <v>60</v>
      </c>
      <c r="P114" s="53">
        <v>2</v>
      </c>
      <c r="Q114" s="53" t="s">
        <v>10</v>
      </c>
      <c r="R114" s="53" t="s">
        <v>7</v>
      </c>
      <c r="S114" s="53">
        <v>4140</v>
      </c>
      <c r="T114" s="53">
        <v>43</v>
      </c>
      <c r="U114" s="6">
        <f t="shared" si="7"/>
        <v>86</v>
      </c>
      <c r="V114" s="6">
        <f t="shared" si="8"/>
        <v>4.7237399999999994</v>
      </c>
    </row>
    <row r="115" spans="7:22" x14ac:dyDescent="0.25">
      <c r="G115" s="6">
        <v>104</v>
      </c>
      <c r="H115" s="6">
        <v>2</v>
      </c>
      <c r="I115" s="6" t="s">
        <v>10</v>
      </c>
      <c r="J115" s="6" t="s">
        <v>7</v>
      </c>
      <c r="K115" s="6">
        <v>4990</v>
      </c>
      <c r="L115" s="6">
        <v>52</v>
      </c>
      <c r="N115" s="6">
        <f t="shared" si="4"/>
        <v>104</v>
      </c>
      <c r="O115" s="6" t="s">
        <v>60</v>
      </c>
      <c r="P115" s="53">
        <v>2</v>
      </c>
      <c r="Q115" s="53" t="s">
        <v>10</v>
      </c>
      <c r="R115" s="53" t="s">
        <v>7</v>
      </c>
      <c r="S115" s="53">
        <v>4410</v>
      </c>
      <c r="T115" s="53">
        <v>46</v>
      </c>
      <c r="U115" s="6">
        <f t="shared" si="7"/>
        <v>92</v>
      </c>
      <c r="V115" s="6">
        <f t="shared" si="8"/>
        <v>5.0318100000000001</v>
      </c>
    </row>
    <row r="116" spans="7:22" x14ac:dyDescent="0.25">
      <c r="G116" s="6">
        <v>105</v>
      </c>
      <c r="H116" s="6">
        <v>26</v>
      </c>
      <c r="I116" s="6" t="s">
        <v>10</v>
      </c>
      <c r="J116" s="6" t="s">
        <v>7</v>
      </c>
      <c r="K116" s="6">
        <v>5270</v>
      </c>
      <c r="L116" s="6">
        <v>55</v>
      </c>
      <c r="N116" s="6">
        <f t="shared" si="4"/>
        <v>1430</v>
      </c>
      <c r="O116" s="6" t="s">
        <v>60</v>
      </c>
      <c r="P116" s="53">
        <v>2</v>
      </c>
      <c r="Q116" s="53" t="s">
        <v>10</v>
      </c>
      <c r="R116" s="53" t="s">
        <v>7</v>
      </c>
      <c r="S116" s="53">
        <v>4990</v>
      </c>
      <c r="T116" s="53">
        <v>52</v>
      </c>
      <c r="U116" s="6">
        <f t="shared" si="7"/>
        <v>104</v>
      </c>
      <c r="V116" s="6">
        <f t="shared" si="8"/>
        <v>5.6935900000000004</v>
      </c>
    </row>
    <row r="117" spans="7:22" x14ac:dyDescent="0.25">
      <c r="G117" s="6">
        <v>106</v>
      </c>
      <c r="H117" s="6">
        <v>2</v>
      </c>
      <c r="I117" s="6" t="s">
        <v>10</v>
      </c>
      <c r="J117" s="6" t="s">
        <v>7</v>
      </c>
      <c r="K117" s="6">
        <v>5680</v>
      </c>
      <c r="L117" s="6">
        <v>59</v>
      </c>
      <c r="N117" s="6">
        <f t="shared" si="4"/>
        <v>118</v>
      </c>
      <c r="O117" s="6" t="s">
        <v>60</v>
      </c>
      <c r="P117" s="53">
        <v>26</v>
      </c>
      <c r="Q117" s="53" t="s">
        <v>10</v>
      </c>
      <c r="R117" s="53" t="s">
        <v>7</v>
      </c>
      <c r="S117" s="53">
        <v>5270</v>
      </c>
      <c r="T117" s="53">
        <v>55</v>
      </c>
      <c r="U117" s="6">
        <f t="shared" si="7"/>
        <v>1430</v>
      </c>
      <c r="V117" s="6">
        <f t="shared" si="8"/>
        <v>78.169910000000002</v>
      </c>
    </row>
    <row r="118" spans="7:22" x14ac:dyDescent="0.25">
      <c r="G118" s="6">
        <v>107</v>
      </c>
      <c r="H118" s="6">
        <v>4</v>
      </c>
      <c r="I118" s="6" t="s">
        <v>10</v>
      </c>
      <c r="J118" s="6" t="s">
        <v>7</v>
      </c>
      <c r="K118" s="6">
        <v>5730</v>
      </c>
      <c r="L118" s="6">
        <v>60</v>
      </c>
      <c r="N118" s="6">
        <f t="shared" si="4"/>
        <v>240</v>
      </c>
      <c r="O118" s="6" t="s">
        <v>60</v>
      </c>
      <c r="P118" s="53">
        <v>2</v>
      </c>
      <c r="Q118" s="53" t="s">
        <v>10</v>
      </c>
      <c r="R118" s="53" t="s">
        <v>7</v>
      </c>
      <c r="S118" s="53">
        <v>5680</v>
      </c>
      <c r="T118" s="53">
        <v>59</v>
      </c>
      <c r="U118" s="6">
        <f t="shared" si="7"/>
        <v>118</v>
      </c>
      <c r="V118" s="6">
        <f t="shared" si="8"/>
        <v>6.48088</v>
      </c>
    </row>
    <row r="119" spans="7:22" x14ac:dyDescent="0.25">
      <c r="G119" s="6">
        <v>108</v>
      </c>
      <c r="H119" s="6">
        <v>2</v>
      </c>
      <c r="I119" s="6" t="s">
        <v>10</v>
      </c>
      <c r="J119" s="6" t="s">
        <v>7</v>
      </c>
      <c r="K119" s="6">
        <v>5800</v>
      </c>
      <c r="L119" s="6">
        <v>61</v>
      </c>
      <c r="N119" s="6">
        <f t="shared" si="4"/>
        <v>122</v>
      </c>
      <c r="O119" s="6" t="s">
        <v>60</v>
      </c>
      <c r="P119" s="53">
        <v>4</v>
      </c>
      <c r="Q119" s="53" t="s">
        <v>10</v>
      </c>
      <c r="R119" s="53" t="s">
        <v>7</v>
      </c>
      <c r="S119" s="53">
        <v>5730</v>
      </c>
      <c r="T119" s="53">
        <v>60</v>
      </c>
      <c r="U119" s="6">
        <f t="shared" si="7"/>
        <v>240</v>
      </c>
      <c r="V119" s="6">
        <f t="shared" si="8"/>
        <v>13.07586</v>
      </c>
    </row>
    <row r="120" spans="7:22" x14ac:dyDescent="0.25">
      <c r="G120" s="6">
        <v>109</v>
      </c>
      <c r="H120" s="6">
        <v>2</v>
      </c>
      <c r="I120" s="6" t="s">
        <v>10</v>
      </c>
      <c r="J120" s="6" t="s">
        <v>7</v>
      </c>
      <c r="K120" s="6">
        <v>5880</v>
      </c>
      <c r="L120" s="6">
        <v>61</v>
      </c>
      <c r="N120" s="6">
        <f t="shared" si="4"/>
        <v>122</v>
      </c>
      <c r="O120" s="6" t="s">
        <v>60</v>
      </c>
      <c r="P120" s="53">
        <v>2</v>
      </c>
      <c r="Q120" s="53" t="s">
        <v>10</v>
      </c>
      <c r="R120" s="53" t="s">
        <v>7</v>
      </c>
      <c r="S120" s="53">
        <v>5800</v>
      </c>
      <c r="T120" s="53">
        <v>61</v>
      </c>
      <c r="U120" s="6">
        <f t="shared" si="7"/>
        <v>122</v>
      </c>
      <c r="V120" s="6">
        <f t="shared" si="8"/>
        <v>6.6177999999999999</v>
      </c>
    </row>
    <row r="121" spans="7:22" x14ac:dyDescent="0.25">
      <c r="G121" s="6">
        <v>110</v>
      </c>
      <c r="H121" s="6">
        <v>2</v>
      </c>
      <c r="I121" s="6" t="s">
        <v>10</v>
      </c>
      <c r="J121" s="6" t="s">
        <v>7</v>
      </c>
      <c r="K121" s="6">
        <v>5930</v>
      </c>
      <c r="L121" s="6">
        <v>62</v>
      </c>
      <c r="N121" s="6">
        <f t="shared" si="4"/>
        <v>124</v>
      </c>
      <c r="O121" s="6" t="s">
        <v>60</v>
      </c>
      <c r="P121" s="53">
        <v>2</v>
      </c>
      <c r="Q121" s="53" t="s">
        <v>10</v>
      </c>
      <c r="R121" s="53" t="s">
        <v>7</v>
      </c>
      <c r="S121" s="53">
        <v>5880</v>
      </c>
      <c r="T121" s="53">
        <v>61</v>
      </c>
      <c r="U121" s="6">
        <f t="shared" si="7"/>
        <v>122</v>
      </c>
      <c r="V121" s="6">
        <f t="shared" si="8"/>
        <v>6.7090800000000002</v>
      </c>
    </row>
    <row r="122" spans="7:22" x14ac:dyDescent="0.25">
      <c r="G122" s="6">
        <v>111</v>
      </c>
      <c r="H122" s="6">
        <v>2</v>
      </c>
      <c r="I122" s="6" t="s">
        <v>10</v>
      </c>
      <c r="J122" s="6" t="s">
        <v>7</v>
      </c>
      <c r="K122" s="6">
        <v>6170</v>
      </c>
      <c r="L122" s="6">
        <v>65</v>
      </c>
      <c r="N122" s="6">
        <f t="shared" si="4"/>
        <v>130</v>
      </c>
      <c r="O122" s="6" t="s">
        <v>60</v>
      </c>
      <c r="P122" s="53">
        <v>2</v>
      </c>
      <c r="Q122" s="53" t="s">
        <v>10</v>
      </c>
      <c r="R122" s="53" t="s">
        <v>7</v>
      </c>
      <c r="S122" s="53">
        <v>5930</v>
      </c>
      <c r="T122" s="53">
        <v>62</v>
      </c>
      <c r="U122" s="6">
        <f t="shared" si="7"/>
        <v>124</v>
      </c>
      <c r="V122" s="6">
        <f t="shared" si="8"/>
        <v>6.7661299999999995</v>
      </c>
    </row>
    <row r="123" spans="7:22" x14ac:dyDescent="0.25">
      <c r="G123" s="6">
        <v>112</v>
      </c>
      <c r="H123" s="6">
        <v>1</v>
      </c>
      <c r="I123" s="6" t="s">
        <v>10</v>
      </c>
      <c r="J123" s="6" t="s">
        <v>7</v>
      </c>
      <c r="K123" s="6">
        <v>6620</v>
      </c>
      <c r="L123" s="6">
        <v>69</v>
      </c>
      <c r="N123" s="6">
        <f t="shared" si="4"/>
        <v>69</v>
      </c>
      <c r="O123" s="6" t="s">
        <v>60</v>
      </c>
      <c r="P123" s="53">
        <v>2</v>
      </c>
      <c r="Q123" s="53" t="s">
        <v>10</v>
      </c>
      <c r="R123" s="53" t="s">
        <v>7</v>
      </c>
      <c r="S123" s="53">
        <v>6170</v>
      </c>
      <c r="T123" s="53">
        <v>65</v>
      </c>
      <c r="U123" s="6">
        <f t="shared" si="7"/>
        <v>130</v>
      </c>
      <c r="V123" s="6">
        <f t="shared" si="8"/>
        <v>7.0399700000000003</v>
      </c>
    </row>
    <row r="124" spans="7:22" x14ac:dyDescent="0.25">
      <c r="G124" s="6">
        <v>113</v>
      </c>
      <c r="H124" s="6">
        <v>2</v>
      </c>
      <c r="I124" s="6" t="s">
        <v>10</v>
      </c>
      <c r="J124" s="6" t="s">
        <v>7</v>
      </c>
      <c r="K124" s="6">
        <v>6650</v>
      </c>
      <c r="L124" s="6">
        <v>70</v>
      </c>
      <c r="N124" s="6">
        <f t="shared" si="4"/>
        <v>140</v>
      </c>
      <c r="O124" s="6" t="s">
        <v>60</v>
      </c>
      <c r="P124" s="53">
        <v>1</v>
      </c>
      <c r="Q124" s="53" t="s">
        <v>10</v>
      </c>
      <c r="R124" s="53" t="s">
        <v>7</v>
      </c>
      <c r="S124" s="53">
        <v>6620</v>
      </c>
      <c r="T124" s="53">
        <v>69</v>
      </c>
      <c r="U124" s="6">
        <f t="shared" si="7"/>
        <v>69</v>
      </c>
      <c r="V124" s="6">
        <f t="shared" si="8"/>
        <v>3.77671</v>
      </c>
    </row>
    <row r="125" spans="7:22" x14ac:dyDescent="0.25">
      <c r="G125" s="6">
        <v>114</v>
      </c>
      <c r="H125" s="6">
        <v>4</v>
      </c>
      <c r="I125" s="6" t="s">
        <v>10</v>
      </c>
      <c r="J125" s="6" t="s">
        <v>7</v>
      </c>
      <c r="K125" s="6">
        <v>7800</v>
      </c>
      <c r="L125" s="6">
        <v>82</v>
      </c>
      <c r="N125" s="6">
        <f t="shared" si="4"/>
        <v>328</v>
      </c>
      <c r="O125" s="6" t="s">
        <v>60</v>
      </c>
      <c r="P125" s="53">
        <v>2</v>
      </c>
      <c r="Q125" s="53" t="s">
        <v>10</v>
      </c>
      <c r="R125" s="53" t="s">
        <v>7</v>
      </c>
      <c r="S125" s="53">
        <v>6650</v>
      </c>
      <c r="T125" s="53">
        <v>70</v>
      </c>
      <c r="U125" s="6">
        <f t="shared" si="7"/>
        <v>140</v>
      </c>
      <c r="V125" s="6">
        <f t="shared" si="8"/>
        <v>7.5876500000000009</v>
      </c>
    </row>
    <row r="126" spans="7:22" x14ac:dyDescent="0.25">
      <c r="G126" s="6">
        <v>115</v>
      </c>
      <c r="H126" s="6">
        <v>2</v>
      </c>
      <c r="I126" s="6" t="s">
        <v>10</v>
      </c>
      <c r="J126" s="6" t="s">
        <v>7</v>
      </c>
      <c r="K126" s="6">
        <v>8100</v>
      </c>
      <c r="L126" s="6">
        <v>85</v>
      </c>
      <c r="N126" s="6">
        <f t="shared" si="4"/>
        <v>170</v>
      </c>
      <c r="O126" s="6" t="s">
        <v>60</v>
      </c>
      <c r="P126" s="53">
        <v>4</v>
      </c>
      <c r="Q126" s="53" t="s">
        <v>10</v>
      </c>
      <c r="R126" s="53" t="s">
        <v>7</v>
      </c>
      <c r="S126" s="53">
        <v>7800</v>
      </c>
      <c r="T126" s="53">
        <v>82</v>
      </c>
      <c r="U126" s="6">
        <f t="shared" si="7"/>
        <v>328</v>
      </c>
      <c r="V126" s="6">
        <f t="shared" si="8"/>
        <v>17.799599999999998</v>
      </c>
    </row>
    <row r="127" spans="7:22" x14ac:dyDescent="0.25">
      <c r="G127" s="6">
        <v>116</v>
      </c>
      <c r="H127" s="6">
        <v>1</v>
      </c>
      <c r="I127" s="6" t="s">
        <v>10</v>
      </c>
      <c r="J127" s="6" t="s">
        <v>7</v>
      </c>
      <c r="K127" s="6">
        <v>10630</v>
      </c>
      <c r="L127" s="6">
        <v>111</v>
      </c>
      <c r="N127" s="6">
        <f t="shared" si="4"/>
        <v>111</v>
      </c>
      <c r="O127" s="6" t="s">
        <v>60</v>
      </c>
      <c r="P127" s="53">
        <v>2</v>
      </c>
      <c r="Q127" s="53" t="s">
        <v>10</v>
      </c>
      <c r="R127" s="53" t="s">
        <v>7</v>
      </c>
      <c r="S127" s="53">
        <v>8100</v>
      </c>
      <c r="T127" s="53">
        <v>85</v>
      </c>
      <c r="U127" s="6">
        <f t="shared" si="7"/>
        <v>170</v>
      </c>
      <c r="V127" s="6">
        <f t="shared" si="8"/>
        <v>9.2420999999999989</v>
      </c>
    </row>
    <row r="128" spans="7:22" x14ac:dyDescent="0.25">
      <c r="G128" s="6">
        <v>117</v>
      </c>
      <c r="H128" s="6">
        <v>12</v>
      </c>
      <c r="I128" s="6" t="s">
        <v>10</v>
      </c>
      <c r="J128" s="6" t="s">
        <v>7</v>
      </c>
      <c r="K128" s="6">
        <v>10760</v>
      </c>
      <c r="L128" s="6">
        <v>113</v>
      </c>
      <c r="N128" s="6">
        <f t="shared" si="4"/>
        <v>1356</v>
      </c>
      <c r="O128" s="6" t="s">
        <v>60</v>
      </c>
      <c r="P128" s="53">
        <v>1</v>
      </c>
      <c r="Q128" s="53" t="s">
        <v>10</v>
      </c>
      <c r="R128" s="53" t="s">
        <v>7</v>
      </c>
      <c r="S128" s="53">
        <v>10630</v>
      </c>
      <c r="T128" s="53">
        <v>111</v>
      </c>
      <c r="U128" s="6">
        <f t="shared" si="7"/>
        <v>111</v>
      </c>
      <c r="V128" s="6">
        <f t="shared" si="8"/>
        <v>6.0644150000000003</v>
      </c>
    </row>
    <row r="129" spans="6:22" x14ac:dyDescent="0.25">
      <c r="G129" s="6">
        <v>118</v>
      </c>
      <c r="H129" s="6">
        <v>2</v>
      </c>
      <c r="I129" s="6" t="s">
        <v>10</v>
      </c>
      <c r="J129" s="6" t="s">
        <v>7</v>
      </c>
      <c r="K129" s="6">
        <v>10780</v>
      </c>
      <c r="L129" s="6">
        <v>113</v>
      </c>
      <c r="N129" s="6">
        <f t="shared" si="4"/>
        <v>226</v>
      </c>
      <c r="O129" s="6" t="s">
        <v>60</v>
      </c>
      <c r="P129" s="53">
        <v>12</v>
      </c>
      <c r="Q129" s="53" t="s">
        <v>10</v>
      </c>
      <c r="R129" s="53" t="s">
        <v>7</v>
      </c>
      <c r="S129" s="53">
        <v>10760</v>
      </c>
      <c r="T129" s="53">
        <v>113</v>
      </c>
      <c r="U129" s="6">
        <f t="shared" si="7"/>
        <v>1356</v>
      </c>
      <c r="V129" s="6">
        <f t="shared" si="8"/>
        <v>73.662959999999998</v>
      </c>
    </row>
    <row r="130" spans="6:22" x14ac:dyDescent="0.25">
      <c r="G130" s="6">
        <v>119</v>
      </c>
      <c r="H130" s="6">
        <v>2</v>
      </c>
      <c r="I130" s="6" t="s">
        <v>10</v>
      </c>
      <c r="J130" s="6" t="s">
        <v>7</v>
      </c>
      <c r="K130" s="6">
        <v>11480</v>
      </c>
      <c r="L130" s="6">
        <v>120</v>
      </c>
      <c r="N130" s="6">
        <f t="shared" si="4"/>
        <v>240</v>
      </c>
      <c r="O130" s="6" t="s">
        <v>60</v>
      </c>
      <c r="P130" s="53">
        <v>2</v>
      </c>
      <c r="Q130" s="53" t="s">
        <v>10</v>
      </c>
      <c r="R130" s="53" t="s">
        <v>7</v>
      </c>
      <c r="S130" s="53">
        <v>10780</v>
      </c>
      <c r="T130" s="53">
        <v>113</v>
      </c>
      <c r="U130" s="6">
        <f t="shared" si="7"/>
        <v>226</v>
      </c>
      <c r="V130" s="6">
        <f t="shared" si="8"/>
        <v>12.29998</v>
      </c>
    </row>
    <row r="131" spans="6:22" x14ac:dyDescent="0.25">
      <c r="G131" s="6">
        <v>120</v>
      </c>
      <c r="H131" s="6">
        <v>1</v>
      </c>
      <c r="I131" s="6" t="s">
        <v>10</v>
      </c>
      <c r="J131" s="6" t="s">
        <v>7</v>
      </c>
      <c r="K131" s="6">
        <v>11840</v>
      </c>
      <c r="L131" s="6">
        <v>124</v>
      </c>
      <c r="N131" s="6">
        <f t="shared" si="4"/>
        <v>124</v>
      </c>
      <c r="O131" s="6" t="s">
        <v>60</v>
      </c>
      <c r="P131" s="53">
        <v>2</v>
      </c>
      <c r="Q131" s="53" t="s">
        <v>10</v>
      </c>
      <c r="R131" s="53" t="s">
        <v>7</v>
      </c>
      <c r="S131" s="53">
        <v>11480</v>
      </c>
      <c r="T131" s="53">
        <v>120</v>
      </c>
      <c r="U131" s="6">
        <f t="shared" si="7"/>
        <v>240</v>
      </c>
      <c r="V131" s="6">
        <f t="shared" si="8"/>
        <v>13.09868</v>
      </c>
    </row>
    <row r="132" spans="6:22" x14ac:dyDescent="0.25">
      <c r="G132" s="6">
        <v>121</v>
      </c>
      <c r="H132" s="6">
        <v>4</v>
      </c>
      <c r="I132" s="6" t="s">
        <v>11</v>
      </c>
      <c r="J132" s="6" t="s">
        <v>7</v>
      </c>
      <c r="K132" s="6">
        <v>850</v>
      </c>
      <c r="L132" s="6">
        <v>14</v>
      </c>
      <c r="N132" s="6">
        <f t="shared" si="4"/>
        <v>56</v>
      </c>
      <c r="O132" s="6" t="s">
        <v>60</v>
      </c>
      <c r="P132" s="53">
        <v>1</v>
      </c>
      <c r="Q132" s="53" t="s">
        <v>10</v>
      </c>
      <c r="R132" s="53" t="s">
        <v>7</v>
      </c>
      <c r="S132" s="53">
        <v>11840</v>
      </c>
      <c r="T132" s="53">
        <v>124</v>
      </c>
      <c r="U132" s="6">
        <f t="shared" si="7"/>
        <v>124</v>
      </c>
      <c r="V132" s="6">
        <f t="shared" si="8"/>
        <v>6.7547199999999998</v>
      </c>
    </row>
    <row r="133" spans="6:22" x14ac:dyDescent="0.25">
      <c r="G133" s="6">
        <v>122</v>
      </c>
      <c r="H133" s="6">
        <v>2</v>
      </c>
      <c r="I133" s="6" t="s">
        <v>11</v>
      </c>
      <c r="J133" s="6" t="s">
        <v>7</v>
      </c>
      <c r="K133" s="6">
        <v>1430</v>
      </c>
      <c r="L133" s="6">
        <v>24</v>
      </c>
      <c r="N133" s="6">
        <f t="shared" si="4"/>
        <v>48</v>
      </c>
      <c r="O133" s="6" t="s">
        <v>60</v>
      </c>
      <c r="P133" s="53">
        <v>4</v>
      </c>
      <c r="Q133" s="53" t="s">
        <v>11</v>
      </c>
      <c r="R133" s="53" t="s">
        <v>7</v>
      </c>
      <c r="S133" s="53">
        <v>850</v>
      </c>
      <c r="T133" s="53">
        <v>14</v>
      </c>
      <c r="U133" s="6">
        <f t="shared" si="7"/>
        <v>56</v>
      </c>
      <c r="V133" s="6">
        <f>(0.15+0.1+0.1+0.00635+0.00635+0.9365+0.9365+0.1373)*(S133/1000)*P133</f>
        <v>8.0682000000000009</v>
      </c>
    </row>
    <row r="134" spans="6:22" x14ac:dyDescent="0.25">
      <c r="G134" s="6">
        <v>123</v>
      </c>
      <c r="H134" s="6">
        <v>16</v>
      </c>
      <c r="I134" s="6" t="s">
        <v>11</v>
      </c>
      <c r="J134" s="6" t="s">
        <v>7</v>
      </c>
      <c r="K134" s="6">
        <v>1500</v>
      </c>
      <c r="L134" s="6">
        <v>25</v>
      </c>
      <c r="N134" s="6">
        <f t="shared" si="4"/>
        <v>400</v>
      </c>
      <c r="O134" s="6" t="s">
        <v>60</v>
      </c>
      <c r="P134" s="53">
        <v>2</v>
      </c>
      <c r="Q134" s="53" t="s">
        <v>11</v>
      </c>
      <c r="R134" s="53" t="s">
        <v>7</v>
      </c>
      <c r="S134" s="53">
        <v>1430</v>
      </c>
      <c r="T134" s="53">
        <v>24</v>
      </c>
      <c r="U134" s="6">
        <f t="shared" si="7"/>
        <v>48</v>
      </c>
      <c r="V134" s="6">
        <f t="shared" ref="V134:V144" si="9">(0.15+0.1+0.1+0.00635+0.00635+0.9365+0.9365+0.1373)*(S134/1000)*P134</f>
        <v>6.7867800000000003</v>
      </c>
    </row>
    <row r="135" spans="6:22" x14ac:dyDescent="0.25">
      <c r="G135" s="6">
        <v>124</v>
      </c>
      <c r="H135" s="6">
        <v>2</v>
      </c>
      <c r="I135" s="6" t="s">
        <v>11</v>
      </c>
      <c r="J135" s="6" t="s">
        <v>7</v>
      </c>
      <c r="K135" s="6">
        <v>1940</v>
      </c>
      <c r="L135" s="6">
        <v>33</v>
      </c>
      <c r="N135" s="6">
        <f t="shared" si="4"/>
        <v>66</v>
      </c>
      <c r="O135" s="6" t="s">
        <v>60</v>
      </c>
      <c r="P135" s="53">
        <v>16</v>
      </c>
      <c r="Q135" s="53" t="s">
        <v>11</v>
      </c>
      <c r="R135" s="53" t="s">
        <v>7</v>
      </c>
      <c r="S135" s="53">
        <v>1500</v>
      </c>
      <c r="T135" s="53">
        <v>25</v>
      </c>
      <c r="U135" s="6">
        <f t="shared" si="7"/>
        <v>400</v>
      </c>
      <c r="V135" s="6">
        <f t="shared" si="9"/>
        <v>56.952000000000005</v>
      </c>
    </row>
    <row r="136" spans="6:22" x14ac:dyDescent="0.25">
      <c r="G136" s="6">
        <v>125</v>
      </c>
      <c r="H136" s="6">
        <v>2</v>
      </c>
      <c r="I136" s="6" t="s">
        <v>11</v>
      </c>
      <c r="J136" s="6" t="s">
        <v>7</v>
      </c>
      <c r="K136" s="6">
        <v>1980</v>
      </c>
      <c r="L136" s="6">
        <v>33</v>
      </c>
      <c r="N136" s="6">
        <f t="shared" si="4"/>
        <v>66</v>
      </c>
      <c r="O136" s="6" t="s">
        <v>60</v>
      </c>
      <c r="P136" s="53">
        <v>2</v>
      </c>
      <c r="Q136" s="53" t="s">
        <v>11</v>
      </c>
      <c r="R136" s="53" t="s">
        <v>7</v>
      </c>
      <c r="S136" s="53">
        <v>1940</v>
      </c>
      <c r="T136" s="53">
        <v>33</v>
      </c>
      <c r="U136" s="6">
        <f t="shared" si="7"/>
        <v>66</v>
      </c>
      <c r="V136" s="6">
        <f t="shared" si="9"/>
        <v>9.2072400000000005</v>
      </c>
    </row>
    <row r="137" spans="6:22" x14ac:dyDescent="0.25">
      <c r="G137" s="6">
        <v>126</v>
      </c>
      <c r="H137" s="6">
        <v>2</v>
      </c>
      <c r="I137" s="6" t="s">
        <v>11</v>
      </c>
      <c r="J137" s="6" t="s">
        <v>7</v>
      </c>
      <c r="K137" s="6">
        <v>7040</v>
      </c>
      <c r="L137" s="6">
        <v>118</v>
      </c>
      <c r="N137" s="6">
        <f t="shared" si="4"/>
        <v>236</v>
      </c>
      <c r="O137" s="6" t="s">
        <v>60</v>
      </c>
      <c r="P137" s="53">
        <v>2</v>
      </c>
      <c r="Q137" s="53" t="s">
        <v>11</v>
      </c>
      <c r="R137" s="53" t="s">
        <v>7</v>
      </c>
      <c r="S137" s="53">
        <v>1980</v>
      </c>
      <c r="T137" s="53">
        <v>33</v>
      </c>
      <c r="U137" s="6">
        <f t="shared" si="7"/>
        <v>66</v>
      </c>
      <c r="V137" s="6">
        <f t="shared" si="9"/>
        <v>9.3970800000000008</v>
      </c>
    </row>
    <row r="138" spans="6:22" x14ac:dyDescent="0.25">
      <c r="G138" s="6">
        <v>127</v>
      </c>
      <c r="H138" s="6">
        <v>2</v>
      </c>
      <c r="I138" s="6" t="s">
        <v>11</v>
      </c>
      <c r="J138" s="6" t="s">
        <v>7</v>
      </c>
      <c r="K138" s="6">
        <v>7780</v>
      </c>
      <c r="L138" s="6">
        <v>131</v>
      </c>
      <c r="N138" s="6">
        <f t="shared" si="4"/>
        <v>262</v>
      </c>
      <c r="O138" s="6" t="s">
        <v>60</v>
      </c>
      <c r="P138" s="53">
        <v>2</v>
      </c>
      <c r="Q138" s="53" t="s">
        <v>11</v>
      </c>
      <c r="R138" s="53" t="s">
        <v>7</v>
      </c>
      <c r="S138" s="53">
        <v>7040</v>
      </c>
      <c r="T138" s="53">
        <v>118</v>
      </c>
      <c r="U138" s="6">
        <f t="shared" si="7"/>
        <v>236</v>
      </c>
      <c r="V138" s="6">
        <f t="shared" si="9"/>
        <v>33.411840000000005</v>
      </c>
    </row>
    <row r="139" spans="6:22" x14ac:dyDescent="0.25">
      <c r="G139" s="6">
        <v>128</v>
      </c>
      <c r="H139" s="6">
        <v>2</v>
      </c>
      <c r="I139" s="6" t="s">
        <v>11</v>
      </c>
      <c r="J139" s="6" t="s">
        <v>7</v>
      </c>
      <c r="K139" s="6">
        <v>9050</v>
      </c>
      <c r="L139" s="6">
        <v>152</v>
      </c>
      <c r="N139" s="6">
        <f t="shared" si="4"/>
        <v>304</v>
      </c>
      <c r="O139" s="6" t="s">
        <v>60</v>
      </c>
      <c r="P139" s="53">
        <v>2</v>
      </c>
      <c r="Q139" s="53" t="s">
        <v>11</v>
      </c>
      <c r="R139" s="53" t="s">
        <v>7</v>
      </c>
      <c r="S139" s="53">
        <v>7780</v>
      </c>
      <c r="T139" s="53">
        <v>131</v>
      </c>
      <c r="U139" s="6">
        <f t="shared" si="7"/>
        <v>262</v>
      </c>
      <c r="V139" s="6">
        <f t="shared" si="9"/>
        <v>36.923880000000004</v>
      </c>
    </row>
    <row r="140" spans="6:22" x14ac:dyDescent="0.25">
      <c r="G140" s="6">
        <v>129</v>
      </c>
      <c r="H140" s="6">
        <v>1</v>
      </c>
      <c r="I140" s="6" t="s">
        <v>11</v>
      </c>
      <c r="J140" s="6" t="s">
        <v>7</v>
      </c>
      <c r="K140" s="6">
        <v>9790</v>
      </c>
      <c r="L140" s="6">
        <v>165</v>
      </c>
      <c r="N140" s="6">
        <f t="shared" ref="N140:N203" si="10">L140*H140</f>
        <v>165</v>
      </c>
      <c r="O140" s="6" t="s">
        <v>60</v>
      </c>
      <c r="P140" s="53">
        <v>2</v>
      </c>
      <c r="Q140" s="53" t="s">
        <v>11</v>
      </c>
      <c r="R140" s="53" t="s">
        <v>7</v>
      </c>
      <c r="S140" s="53">
        <v>9050</v>
      </c>
      <c r="T140" s="53">
        <v>152</v>
      </c>
      <c r="U140" s="6">
        <f t="shared" si="7"/>
        <v>304</v>
      </c>
      <c r="V140" s="6">
        <f t="shared" si="9"/>
        <v>42.95130000000001</v>
      </c>
    </row>
    <row r="141" spans="6:22" x14ac:dyDescent="0.25">
      <c r="G141" s="6">
        <v>130</v>
      </c>
      <c r="H141" s="6">
        <v>1</v>
      </c>
      <c r="I141" s="6" t="s">
        <v>11</v>
      </c>
      <c r="J141" s="6" t="s">
        <v>7</v>
      </c>
      <c r="K141" s="6">
        <v>9870</v>
      </c>
      <c r="L141" s="6">
        <v>166</v>
      </c>
      <c r="N141" s="6">
        <f t="shared" si="10"/>
        <v>166</v>
      </c>
      <c r="O141" s="6" t="s">
        <v>60</v>
      </c>
      <c r="P141" s="53">
        <v>1</v>
      </c>
      <c r="Q141" s="53" t="s">
        <v>11</v>
      </c>
      <c r="R141" s="53" t="s">
        <v>7</v>
      </c>
      <c r="S141" s="53">
        <v>9790</v>
      </c>
      <c r="T141" s="53">
        <v>165</v>
      </c>
      <c r="U141" s="6">
        <f t="shared" si="7"/>
        <v>165</v>
      </c>
      <c r="V141" s="6">
        <f t="shared" si="9"/>
        <v>23.231670000000001</v>
      </c>
    </row>
    <row r="142" spans="6:22" x14ac:dyDescent="0.25">
      <c r="G142" s="6">
        <v>131</v>
      </c>
      <c r="H142" s="6">
        <v>2</v>
      </c>
      <c r="I142" s="6" t="s">
        <v>11</v>
      </c>
      <c r="J142" s="6" t="s">
        <v>7</v>
      </c>
      <c r="K142" s="6">
        <v>11750</v>
      </c>
      <c r="L142" s="6">
        <v>198</v>
      </c>
      <c r="N142" s="6">
        <f t="shared" si="10"/>
        <v>396</v>
      </c>
      <c r="O142" s="6" t="s">
        <v>60</v>
      </c>
      <c r="P142" s="53">
        <v>1</v>
      </c>
      <c r="Q142" s="53" t="s">
        <v>11</v>
      </c>
      <c r="R142" s="53" t="s">
        <v>7</v>
      </c>
      <c r="S142" s="53">
        <v>9870</v>
      </c>
      <c r="T142" s="53">
        <v>166</v>
      </c>
      <c r="U142" s="6">
        <f t="shared" si="7"/>
        <v>166</v>
      </c>
      <c r="V142" s="6">
        <f t="shared" si="9"/>
        <v>23.421510000000001</v>
      </c>
    </row>
    <row r="143" spans="6:22" x14ac:dyDescent="0.25">
      <c r="F143" s="6">
        <v>1</v>
      </c>
      <c r="G143" s="6">
        <v>132</v>
      </c>
      <c r="H143" s="6">
        <v>1</v>
      </c>
      <c r="I143" s="6" t="s">
        <v>11</v>
      </c>
      <c r="J143" s="6" t="s">
        <v>7</v>
      </c>
      <c r="K143" s="6">
        <v>16020</v>
      </c>
      <c r="L143" s="6">
        <v>269</v>
      </c>
      <c r="N143" s="6">
        <f t="shared" si="10"/>
        <v>269</v>
      </c>
      <c r="O143" s="6" t="s">
        <v>60</v>
      </c>
      <c r="P143" s="53">
        <v>2</v>
      </c>
      <c r="Q143" s="53" t="s">
        <v>11</v>
      </c>
      <c r="R143" s="53" t="s">
        <v>7</v>
      </c>
      <c r="S143" s="53">
        <v>11750</v>
      </c>
      <c r="T143" s="53">
        <v>198</v>
      </c>
      <c r="U143" s="6">
        <f t="shared" si="7"/>
        <v>396</v>
      </c>
      <c r="V143" s="6">
        <f t="shared" si="9"/>
        <v>55.765500000000003</v>
      </c>
    </row>
    <row r="144" spans="6:22" x14ac:dyDescent="0.25">
      <c r="G144" s="6">
        <v>133</v>
      </c>
      <c r="H144" s="6">
        <v>1</v>
      </c>
      <c r="I144" s="6" t="s">
        <v>12</v>
      </c>
      <c r="J144" s="6" t="s">
        <v>7</v>
      </c>
      <c r="K144" s="6">
        <v>20</v>
      </c>
      <c r="L144" s="6">
        <v>0</v>
      </c>
      <c r="N144" s="6">
        <f t="shared" si="10"/>
        <v>0</v>
      </c>
      <c r="O144" s="6" t="s">
        <v>60</v>
      </c>
      <c r="P144" s="53">
        <v>1</v>
      </c>
      <c r="Q144" s="53" t="s">
        <v>11</v>
      </c>
      <c r="R144" s="53" t="s">
        <v>7</v>
      </c>
      <c r="S144" s="53">
        <v>16020</v>
      </c>
      <c r="T144" s="53">
        <v>269</v>
      </c>
      <c r="U144" s="6">
        <f t="shared" si="7"/>
        <v>269</v>
      </c>
      <c r="V144" s="6">
        <f t="shared" si="9"/>
        <v>38.015460000000004</v>
      </c>
    </row>
    <row r="145" spans="7:22" x14ac:dyDescent="0.25">
      <c r="G145" s="6">
        <v>134</v>
      </c>
      <c r="H145" s="6">
        <v>1</v>
      </c>
      <c r="I145" s="6" t="s">
        <v>12</v>
      </c>
      <c r="J145" s="6" t="s">
        <v>7</v>
      </c>
      <c r="K145" s="6">
        <v>6900</v>
      </c>
      <c r="L145" s="6">
        <v>36</v>
      </c>
      <c r="N145" s="6">
        <f t="shared" si="10"/>
        <v>36</v>
      </c>
      <c r="O145" s="6" t="s">
        <v>51</v>
      </c>
      <c r="P145" s="41">
        <v>1</v>
      </c>
      <c r="Q145" s="41" t="s">
        <v>12</v>
      </c>
      <c r="R145" s="41" t="s">
        <v>7</v>
      </c>
      <c r="S145" s="41">
        <v>20</v>
      </c>
      <c r="T145" s="41">
        <v>1</v>
      </c>
      <c r="U145" s="6">
        <f t="shared" ref="U145:U146" si="11">P145*T145</f>
        <v>1</v>
      </c>
      <c r="V145" s="6">
        <f t="shared" ref="V145:V146" si="12">(0.127+0.05+0.017+0.05+0.017+0.00265+0.00265+0.0447+0.0447+0.01435+0.01435+0.1217)*(S145/1000)*P145</f>
        <v>1.0122000000000001E-2</v>
      </c>
    </row>
    <row r="146" spans="7:22" x14ac:dyDescent="0.25">
      <c r="G146" s="6">
        <v>135</v>
      </c>
      <c r="H146" s="6">
        <v>2</v>
      </c>
      <c r="I146" s="6" t="s">
        <v>12</v>
      </c>
      <c r="J146" s="6" t="s">
        <v>7</v>
      </c>
      <c r="K146" s="6">
        <v>12160</v>
      </c>
      <c r="L146" s="6">
        <v>63</v>
      </c>
      <c r="N146" s="6">
        <f t="shared" si="10"/>
        <v>126</v>
      </c>
      <c r="O146" s="6" t="s">
        <v>51</v>
      </c>
      <c r="P146" s="41">
        <v>1</v>
      </c>
      <c r="Q146" s="41" t="s">
        <v>12</v>
      </c>
      <c r="R146" s="41" t="s">
        <v>7</v>
      </c>
      <c r="S146" s="41">
        <v>6900</v>
      </c>
      <c r="T146" s="41">
        <v>36</v>
      </c>
      <c r="U146" s="6">
        <f t="shared" si="11"/>
        <v>36</v>
      </c>
      <c r="V146" s="6">
        <f t="shared" si="12"/>
        <v>3.4920900000000001</v>
      </c>
    </row>
    <row r="147" spans="7:22" x14ac:dyDescent="0.25">
      <c r="G147" s="6">
        <v>136</v>
      </c>
      <c r="H147" s="6">
        <v>60</v>
      </c>
      <c r="I147" s="6" t="s">
        <v>13</v>
      </c>
      <c r="J147" s="6" t="s">
        <v>7</v>
      </c>
      <c r="K147" s="6">
        <v>120</v>
      </c>
      <c r="L147" s="6">
        <v>1</v>
      </c>
      <c r="N147" s="6">
        <f t="shared" si="10"/>
        <v>60</v>
      </c>
    </row>
    <row r="148" spans="7:22" x14ac:dyDescent="0.25">
      <c r="G148" s="6">
        <v>137</v>
      </c>
      <c r="H148" s="6">
        <v>12</v>
      </c>
      <c r="I148" s="6" t="s">
        <v>13</v>
      </c>
      <c r="J148" s="6" t="s">
        <v>7</v>
      </c>
      <c r="K148" s="6">
        <v>430</v>
      </c>
      <c r="L148" s="6">
        <v>3</v>
      </c>
      <c r="N148" s="6">
        <f t="shared" si="10"/>
        <v>36</v>
      </c>
      <c r="O148" s="6" t="s">
        <v>51</v>
      </c>
      <c r="P148" s="41">
        <v>2</v>
      </c>
      <c r="Q148" s="41" t="s">
        <v>12</v>
      </c>
      <c r="R148" s="41" t="s">
        <v>7</v>
      </c>
      <c r="S148" s="41">
        <v>12160</v>
      </c>
      <c r="T148" s="41">
        <v>63</v>
      </c>
      <c r="U148" s="6">
        <f>P148*T148</f>
        <v>126</v>
      </c>
      <c r="V148" s="6">
        <f t="shared" ref="V148" si="13">(0.127+0.05+0.017+0.05+0.017+0.00265+0.00265+0.0447+0.0447+0.01435+0.01435+0.1217)*(S148/1000)*P148</f>
        <v>12.308351999999999</v>
      </c>
    </row>
    <row r="149" spans="7:22" x14ac:dyDescent="0.25">
      <c r="G149" s="6">
        <v>138</v>
      </c>
      <c r="H149" s="6">
        <v>48</v>
      </c>
      <c r="I149" s="6" t="s">
        <v>13</v>
      </c>
      <c r="J149" s="6" t="s">
        <v>7</v>
      </c>
      <c r="K149" s="6">
        <v>440</v>
      </c>
      <c r="L149" s="6">
        <v>3</v>
      </c>
      <c r="N149" s="6">
        <f t="shared" si="10"/>
        <v>144</v>
      </c>
      <c r="O149" s="6" t="s">
        <v>60</v>
      </c>
      <c r="P149" s="65">
        <v>60</v>
      </c>
      <c r="Q149" s="65" t="s">
        <v>13</v>
      </c>
      <c r="R149" s="65" t="s">
        <v>7</v>
      </c>
      <c r="S149" s="65">
        <v>120</v>
      </c>
      <c r="T149" s="65">
        <v>1</v>
      </c>
      <c r="U149" s="6">
        <f t="shared" ref="U149:U212" si="14">P149*T149</f>
        <v>60</v>
      </c>
      <c r="V149" s="6">
        <f t="shared" ref="V149:V196" si="15">(0.15+0.06+0.02+0.06+0.02+0.00304+0.00304+0.05392+0.05392+0.01696+0.01696+0.14392)*(S149/1000)*P149</f>
        <v>4.3326719999999996</v>
      </c>
    </row>
    <row r="150" spans="7:22" x14ac:dyDescent="0.25">
      <c r="G150" s="6">
        <v>139</v>
      </c>
      <c r="H150" s="6">
        <v>4</v>
      </c>
      <c r="I150" s="6" t="s">
        <v>13</v>
      </c>
      <c r="J150" s="6" t="s">
        <v>7</v>
      </c>
      <c r="K150" s="6">
        <v>480</v>
      </c>
      <c r="L150" s="6">
        <v>3</v>
      </c>
      <c r="N150" s="6">
        <f t="shared" si="10"/>
        <v>12</v>
      </c>
      <c r="O150" s="6" t="s">
        <v>60</v>
      </c>
      <c r="P150" s="65">
        <v>12</v>
      </c>
      <c r="Q150" s="65" t="s">
        <v>13</v>
      </c>
      <c r="R150" s="65" t="s">
        <v>7</v>
      </c>
      <c r="S150" s="65">
        <v>430</v>
      </c>
      <c r="T150" s="65">
        <v>3</v>
      </c>
      <c r="U150" s="6">
        <f t="shared" si="14"/>
        <v>36</v>
      </c>
      <c r="V150" s="6">
        <f t="shared" si="15"/>
        <v>3.1050815999999992</v>
      </c>
    </row>
    <row r="151" spans="7:22" x14ac:dyDescent="0.25">
      <c r="G151" s="6">
        <v>140</v>
      </c>
      <c r="H151" s="6">
        <v>20</v>
      </c>
      <c r="I151" s="6" t="s">
        <v>13</v>
      </c>
      <c r="J151" s="6" t="s">
        <v>7</v>
      </c>
      <c r="K151" s="6">
        <v>510</v>
      </c>
      <c r="L151" s="6">
        <v>4</v>
      </c>
      <c r="N151" s="6">
        <f t="shared" si="10"/>
        <v>80</v>
      </c>
      <c r="O151" s="6" t="s">
        <v>60</v>
      </c>
      <c r="P151" s="65">
        <v>48</v>
      </c>
      <c r="Q151" s="65" t="s">
        <v>13</v>
      </c>
      <c r="R151" s="65" t="s">
        <v>7</v>
      </c>
      <c r="S151" s="65">
        <v>440</v>
      </c>
      <c r="T151" s="65">
        <v>3</v>
      </c>
      <c r="U151" s="6">
        <f t="shared" si="14"/>
        <v>144</v>
      </c>
      <c r="V151" s="6">
        <f t="shared" si="15"/>
        <v>12.709171199999998</v>
      </c>
    </row>
    <row r="152" spans="7:22" x14ac:dyDescent="0.25">
      <c r="G152" s="6">
        <v>141</v>
      </c>
      <c r="H152" s="6">
        <v>8</v>
      </c>
      <c r="I152" s="6" t="s">
        <v>13</v>
      </c>
      <c r="J152" s="6" t="s">
        <v>7</v>
      </c>
      <c r="K152" s="6">
        <v>520</v>
      </c>
      <c r="L152" s="6">
        <v>4</v>
      </c>
      <c r="N152" s="6">
        <f t="shared" si="10"/>
        <v>32</v>
      </c>
      <c r="O152" s="6" t="s">
        <v>60</v>
      </c>
      <c r="P152" s="65">
        <v>4</v>
      </c>
      <c r="Q152" s="65" t="s">
        <v>13</v>
      </c>
      <c r="R152" s="65" t="s">
        <v>7</v>
      </c>
      <c r="S152" s="65">
        <v>480</v>
      </c>
      <c r="T152" s="65">
        <v>3</v>
      </c>
      <c r="U152" s="6">
        <f t="shared" si="14"/>
        <v>12</v>
      </c>
      <c r="V152" s="6">
        <f t="shared" si="15"/>
        <v>1.1553791999999998</v>
      </c>
    </row>
    <row r="153" spans="7:22" x14ac:dyDescent="0.25">
      <c r="G153" s="6">
        <v>142</v>
      </c>
      <c r="H153" s="6">
        <v>20</v>
      </c>
      <c r="I153" s="6" t="s">
        <v>13</v>
      </c>
      <c r="J153" s="6" t="s">
        <v>7</v>
      </c>
      <c r="K153" s="6">
        <v>530</v>
      </c>
      <c r="L153" s="6">
        <v>4</v>
      </c>
      <c r="N153" s="6">
        <f t="shared" si="10"/>
        <v>80</v>
      </c>
      <c r="O153" s="6" t="s">
        <v>60</v>
      </c>
      <c r="P153" s="65">
        <v>20</v>
      </c>
      <c r="Q153" s="65" t="s">
        <v>13</v>
      </c>
      <c r="R153" s="65" t="s">
        <v>7</v>
      </c>
      <c r="S153" s="65">
        <v>510</v>
      </c>
      <c r="T153" s="65">
        <v>4</v>
      </c>
      <c r="U153" s="6">
        <f t="shared" si="14"/>
        <v>80</v>
      </c>
      <c r="V153" s="6">
        <f t="shared" si="15"/>
        <v>6.1379520000000003</v>
      </c>
    </row>
    <row r="154" spans="7:22" x14ac:dyDescent="0.25">
      <c r="G154" s="6">
        <v>143</v>
      </c>
      <c r="H154" s="6">
        <v>12</v>
      </c>
      <c r="I154" s="6" t="s">
        <v>13</v>
      </c>
      <c r="J154" s="6" t="s">
        <v>7</v>
      </c>
      <c r="K154" s="6">
        <v>540</v>
      </c>
      <c r="L154" s="6">
        <v>4</v>
      </c>
      <c r="N154" s="6">
        <f t="shared" si="10"/>
        <v>48</v>
      </c>
      <c r="O154" s="6" t="s">
        <v>60</v>
      </c>
      <c r="P154" s="65">
        <v>8</v>
      </c>
      <c r="Q154" s="65" t="s">
        <v>13</v>
      </c>
      <c r="R154" s="65" t="s">
        <v>7</v>
      </c>
      <c r="S154" s="65">
        <v>520</v>
      </c>
      <c r="T154" s="65">
        <v>4</v>
      </c>
      <c r="U154" s="6">
        <f t="shared" si="14"/>
        <v>32</v>
      </c>
      <c r="V154" s="6">
        <f t="shared" si="15"/>
        <v>2.5033216</v>
      </c>
    </row>
    <row r="155" spans="7:22" x14ac:dyDescent="0.25">
      <c r="G155" s="6">
        <v>144</v>
      </c>
      <c r="H155" s="6">
        <v>60</v>
      </c>
      <c r="I155" s="6" t="s">
        <v>13</v>
      </c>
      <c r="J155" s="6" t="s">
        <v>7</v>
      </c>
      <c r="K155" s="6">
        <v>550</v>
      </c>
      <c r="L155" s="6">
        <v>4</v>
      </c>
      <c r="N155" s="6">
        <f t="shared" si="10"/>
        <v>240</v>
      </c>
      <c r="O155" s="6" t="s">
        <v>60</v>
      </c>
      <c r="P155" s="65">
        <v>20</v>
      </c>
      <c r="Q155" s="65" t="s">
        <v>13</v>
      </c>
      <c r="R155" s="65" t="s">
        <v>7</v>
      </c>
      <c r="S155" s="65">
        <v>530</v>
      </c>
      <c r="T155" s="65">
        <v>4</v>
      </c>
      <c r="U155" s="6">
        <f t="shared" si="14"/>
        <v>80</v>
      </c>
      <c r="V155" s="6">
        <f t="shared" si="15"/>
        <v>6.3786560000000003</v>
      </c>
    </row>
    <row r="156" spans="7:22" x14ac:dyDescent="0.25">
      <c r="G156" s="6">
        <v>145</v>
      </c>
      <c r="H156" s="6">
        <v>80</v>
      </c>
      <c r="I156" s="6" t="s">
        <v>13</v>
      </c>
      <c r="J156" s="6" t="s">
        <v>7</v>
      </c>
      <c r="K156" s="6">
        <v>560</v>
      </c>
      <c r="L156" s="6">
        <v>4</v>
      </c>
      <c r="N156" s="6">
        <f t="shared" si="10"/>
        <v>320</v>
      </c>
      <c r="O156" s="6" t="s">
        <v>60</v>
      </c>
      <c r="P156" s="65">
        <v>12</v>
      </c>
      <c r="Q156" s="65" t="s">
        <v>13</v>
      </c>
      <c r="R156" s="65" t="s">
        <v>7</v>
      </c>
      <c r="S156" s="65">
        <v>540</v>
      </c>
      <c r="T156" s="65">
        <v>4</v>
      </c>
      <c r="U156" s="6">
        <f t="shared" si="14"/>
        <v>48</v>
      </c>
      <c r="V156" s="6">
        <f t="shared" si="15"/>
        <v>3.8994048000000001</v>
      </c>
    </row>
    <row r="157" spans="7:22" x14ac:dyDescent="0.25">
      <c r="G157" s="6">
        <v>146</v>
      </c>
      <c r="H157" s="6">
        <v>8</v>
      </c>
      <c r="I157" s="6" t="s">
        <v>13</v>
      </c>
      <c r="J157" s="6" t="s">
        <v>7</v>
      </c>
      <c r="K157" s="6">
        <v>570</v>
      </c>
      <c r="L157" s="6">
        <v>4</v>
      </c>
      <c r="N157" s="6">
        <f t="shared" si="10"/>
        <v>32</v>
      </c>
      <c r="O157" s="6" t="s">
        <v>60</v>
      </c>
      <c r="P157" s="65">
        <v>60</v>
      </c>
      <c r="Q157" s="65" t="s">
        <v>13</v>
      </c>
      <c r="R157" s="65" t="s">
        <v>7</v>
      </c>
      <c r="S157" s="65">
        <v>550</v>
      </c>
      <c r="T157" s="65">
        <v>4</v>
      </c>
      <c r="U157" s="6">
        <f t="shared" si="14"/>
        <v>240</v>
      </c>
      <c r="V157" s="6">
        <f t="shared" si="15"/>
        <v>19.858079999999998</v>
      </c>
    </row>
    <row r="158" spans="7:22" x14ac:dyDescent="0.25">
      <c r="G158" s="6">
        <v>147</v>
      </c>
      <c r="H158" s="6">
        <v>2</v>
      </c>
      <c r="I158" s="6" t="s">
        <v>13</v>
      </c>
      <c r="J158" s="6" t="s">
        <v>7</v>
      </c>
      <c r="K158" s="6">
        <v>610</v>
      </c>
      <c r="L158" s="6">
        <v>4</v>
      </c>
      <c r="N158" s="6">
        <f t="shared" si="10"/>
        <v>8</v>
      </c>
      <c r="O158" s="6" t="s">
        <v>60</v>
      </c>
      <c r="P158" s="65">
        <v>80</v>
      </c>
      <c r="Q158" s="65" t="s">
        <v>13</v>
      </c>
      <c r="R158" s="65" t="s">
        <v>7</v>
      </c>
      <c r="S158" s="65">
        <v>560</v>
      </c>
      <c r="T158" s="65">
        <v>4</v>
      </c>
      <c r="U158" s="6">
        <f t="shared" si="14"/>
        <v>320</v>
      </c>
      <c r="V158" s="6">
        <f t="shared" si="15"/>
        <v>26.958848</v>
      </c>
    </row>
    <row r="159" spans="7:22" x14ac:dyDescent="0.25">
      <c r="G159" s="6">
        <v>148</v>
      </c>
      <c r="H159" s="6">
        <v>32</v>
      </c>
      <c r="I159" s="6" t="s">
        <v>13</v>
      </c>
      <c r="J159" s="6" t="s">
        <v>7</v>
      </c>
      <c r="K159" s="6">
        <v>650</v>
      </c>
      <c r="L159" s="6">
        <v>5</v>
      </c>
      <c r="N159" s="6">
        <f t="shared" si="10"/>
        <v>160</v>
      </c>
      <c r="O159" s="6" t="s">
        <v>60</v>
      </c>
      <c r="P159" s="65">
        <v>8</v>
      </c>
      <c r="Q159" s="65" t="s">
        <v>13</v>
      </c>
      <c r="R159" s="65" t="s">
        <v>7</v>
      </c>
      <c r="S159" s="65">
        <v>570</v>
      </c>
      <c r="T159" s="65">
        <v>4</v>
      </c>
      <c r="U159" s="6">
        <f t="shared" si="14"/>
        <v>32</v>
      </c>
      <c r="V159" s="6">
        <f t="shared" si="15"/>
        <v>2.7440255999999996</v>
      </c>
    </row>
    <row r="160" spans="7:22" x14ac:dyDescent="0.25">
      <c r="G160" s="6">
        <v>149</v>
      </c>
      <c r="H160" s="6">
        <v>2</v>
      </c>
      <c r="I160" s="6" t="s">
        <v>13</v>
      </c>
      <c r="J160" s="6" t="s">
        <v>7</v>
      </c>
      <c r="K160" s="6">
        <v>820</v>
      </c>
      <c r="L160" s="6">
        <v>6</v>
      </c>
      <c r="N160" s="6">
        <f t="shared" si="10"/>
        <v>12</v>
      </c>
      <c r="O160" s="6" t="s">
        <v>60</v>
      </c>
      <c r="P160" s="65">
        <v>2</v>
      </c>
      <c r="Q160" s="65" t="s">
        <v>13</v>
      </c>
      <c r="R160" s="65" t="s">
        <v>7</v>
      </c>
      <c r="S160" s="65">
        <v>610</v>
      </c>
      <c r="T160" s="65">
        <v>4</v>
      </c>
      <c r="U160" s="6">
        <f t="shared" si="14"/>
        <v>8</v>
      </c>
      <c r="V160" s="6">
        <f t="shared" si="15"/>
        <v>0.73414719999999989</v>
      </c>
    </row>
    <row r="161" spans="7:22" x14ac:dyDescent="0.25">
      <c r="G161" s="6">
        <v>150</v>
      </c>
      <c r="H161" s="6">
        <v>2</v>
      </c>
      <c r="I161" s="6" t="s">
        <v>13</v>
      </c>
      <c r="J161" s="6" t="s">
        <v>7</v>
      </c>
      <c r="K161" s="6">
        <v>900</v>
      </c>
      <c r="L161" s="6">
        <v>6</v>
      </c>
      <c r="N161" s="6">
        <f t="shared" si="10"/>
        <v>12</v>
      </c>
      <c r="O161" s="6" t="s">
        <v>60</v>
      </c>
      <c r="P161" s="65">
        <v>32</v>
      </c>
      <c r="Q161" s="65" t="s">
        <v>13</v>
      </c>
      <c r="R161" s="65" t="s">
        <v>7</v>
      </c>
      <c r="S161" s="65">
        <v>650</v>
      </c>
      <c r="T161" s="65">
        <v>5</v>
      </c>
      <c r="U161" s="6">
        <f t="shared" si="14"/>
        <v>160</v>
      </c>
      <c r="V161" s="6">
        <f t="shared" si="15"/>
        <v>12.516608</v>
      </c>
    </row>
    <row r="162" spans="7:22" x14ac:dyDescent="0.25">
      <c r="G162" s="6">
        <v>151</v>
      </c>
      <c r="H162" s="6">
        <v>3</v>
      </c>
      <c r="I162" s="6" t="s">
        <v>13</v>
      </c>
      <c r="J162" s="6" t="s">
        <v>7</v>
      </c>
      <c r="K162" s="6">
        <v>3820</v>
      </c>
      <c r="L162" s="6">
        <v>27</v>
      </c>
      <c r="N162" s="6">
        <f t="shared" si="10"/>
        <v>81</v>
      </c>
      <c r="O162" s="6" t="s">
        <v>60</v>
      </c>
      <c r="P162" s="65">
        <v>2</v>
      </c>
      <c r="Q162" s="65" t="s">
        <v>13</v>
      </c>
      <c r="R162" s="65" t="s">
        <v>7</v>
      </c>
      <c r="S162" s="65">
        <v>820</v>
      </c>
      <c r="T162" s="65">
        <v>6</v>
      </c>
      <c r="U162" s="6">
        <f t="shared" si="14"/>
        <v>12</v>
      </c>
      <c r="V162" s="6">
        <f t="shared" si="15"/>
        <v>0.98688639999999983</v>
      </c>
    </row>
    <row r="163" spans="7:22" x14ac:dyDescent="0.25">
      <c r="G163" s="6">
        <v>152</v>
      </c>
      <c r="H163" s="6">
        <v>3</v>
      </c>
      <c r="I163" s="6" t="s">
        <v>13</v>
      </c>
      <c r="J163" s="6" t="s">
        <v>7</v>
      </c>
      <c r="K163" s="6">
        <v>3830</v>
      </c>
      <c r="L163" s="6">
        <v>27</v>
      </c>
      <c r="N163" s="6">
        <f t="shared" si="10"/>
        <v>81</v>
      </c>
      <c r="O163" s="6" t="s">
        <v>60</v>
      </c>
      <c r="P163" s="65">
        <v>2</v>
      </c>
      <c r="Q163" s="65" t="s">
        <v>13</v>
      </c>
      <c r="R163" s="65" t="s">
        <v>7</v>
      </c>
      <c r="S163" s="65">
        <v>900</v>
      </c>
      <c r="T163" s="65">
        <v>6</v>
      </c>
      <c r="U163" s="6">
        <f t="shared" si="14"/>
        <v>12</v>
      </c>
      <c r="V163" s="6">
        <f t="shared" si="15"/>
        <v>1.0831679999999999</v>
      </c>
    </row>
    <row r="164" spans="7:22" x14ac:dyDescent="0.25">
      <c r="G164" s="6">
        <v>153</v>
      </c>
      <c r="H164" s="6">
        <v>8</v>
      </c>
      <c r="I164" s="6" t="s">
        <v>13</v>
      </c>
      <c r="J164" s="6" t="s">
        <v>7</v>
      </c>
      <c r="K164" s="6">
        <v>3890</v>
      </c>
      <c r="L164" s="6">
        <v>28</v>
      </c>
      <c r="N164" s="6">
        <f t="shared" si="10"/>
        <v>224</v>
      </c>
      <c r="O164" s="6" t="s">
        <v>51</v>
      </c>
      <c r="P164" s="41">
        <v>3</v>
      </c>
      <c r="Q164" s="41" t="s">
        <v>13</v>
      </c>
      <c r="R164" s="41" t="s">
        <v>7</v>
      </c>
      <c r="S164" s="41">
        <v>3820</v>
      </c>
      <c r="T164" s="41">
        <v>27</v>
      </c>
      <c r="U164" s="6">
        <f t="shared" si="14"/>
        <v>81</v>
      </c>
      <c r="V164" s="6">
        <f t="shared" si="15"/>
        <v>6.8961696000000003</v>
      </c>
    </row>
    <row r="165" spans="7:22" x14ac:dyDescent="0.25">
      <c r="G165" s="6">
        <v>154</v>
      </c>
      <c r="H165" s="6">
        <v>5</v>
      </c>
      <c r="I165" s="6" t="s">
        <v>13</v>
      </c>
      <c r="J165" s="6" t="s">
        <v>7</v>
      </c>
      <c r="K165" s="6">
        <v>3920</v>
      </c>
      <c r="L165" s="6">
        <v>28</v>
      </c>
      <c r="N165" s="6">
        <f t="shared" si="10"/>
        <v>140</v>
      </c>
      <c r="O165" s="6" t="s">
        <v>51</v>
      </c>
      <c r="P165" s="41">
        <v>3</v>
      </c>
      <c r="Q165" s="41" t="s">
        <v>13</v>
      </c>
      <c r="R165" s="41" t="s">
        <v>7</v>
      </c>
      <c r="S165" s="41">
        <v>3830</v>
      </c>
      <c r="T165" s="41">
        <v>27</v>
      </c>
      <c r="U165" s="6">
        <f t="shared" si="14"/>
        <v>81</v>
      </c>
      <c r="V165" s="6">
        <f t="shared" si="15"/>
        <v>6.9142223999999999</v>
      </c>
    </row>
    <row r="166" spans="7:22" x14ac:dyDescent="0.25">
      <c r="G166" s="6">
        <v>155</v>
      </c>
      <c r="H166" s="6">
        <v>3</v>
      </c>
      <c r="I166" s="6" t="s">
        <v>13</v>
      </c>
      <c r="J166" s="6" t="s">
        <v>7</v>
      </c>
      <c r="K166" s="6">
        <v>3930</v>
      </c>
      <c r="L166" s="6">
        <v>28</v>
      </c>
      <c r="N166" s="6">
        <f t="shared" si="10"/>
        <v>84</v>
      </c>
      <c r="O166" s="6" t="s">
        <v>51</v>
      </c>
      <c r="P166" s="41">
        <v>8</v>
      </c>
      <c r="Q166" s="41" t="s">
        <v>13</v>
      </c>
      <c r="R166" s="41" t="s">
        <v>7</v>
      </c>
      <c r="S166" s="41">
        <v>3890</v>
      </c>
      <c r="T166" s="41">
        <v>28</v>
      </c>
      <c r="U166" s="6">
        <f t="shared" si="14"/>
        <v>224</v>
      </c>
      <c r="V166" s="6">
        <f t="shared" si="15"/>
        <v>18.726771199999998</v>
      </c>
    </row>
    <row r="167" spans="7:22" x14ac:dyDescent="0.25">
      <c r="G167" s="6">
        <v>156</v>
      </c>
      <c r="H167" s="6">
        <v>11</v>
      </c>
      <c r="I167" s="6" t="s">
        <v>13</v>
      </c>
      <c r="J167" s="6" t="s">
        <v>7</v>
      </c>
      <c r="K167" s="6">
        <v>3950</v>
      </c>
      <c r="L167" s="6">
        <v>28</v>
      </c>
      <c r="N167" s="6">
        <f t="shared" si="10"/>
        <v>308</v>
      </c>
      <c r="O167" s="6" t="s">
        <v>51</v>
      </c>
      <c r="P167" s="41">
        <v>5</v>
      </c>
      <c r="Q167" s="41" t="s">
        <v>13</v>
      </c>
      <c r="R167" s="41" t="s">
        <v>7</v>
      </c>
      <c r="S167" s="41">
        <v>3920</v>
      </c>
      <c r="T167" s="41">
        <v>28</v>
      </c>
      <c r="U167" s="6">
        <f t="shared" si="14"/>
        <v>140</v>
      </c>
      <c r="V167" s="6">
        <f t="shared" si="15"/>
        <v>11.794495999999999</v>
      </c>
    </row>
    <row r="168" spans="7:22" x14ac:dyDescent="0.25">
      <c r="G168" s="6">
        <v>157</v>
      </c>
      <c r="H168" s="6">
        <v>5</v>
      </c>
      <c r="I168" s="6" t="s">
        <v>13</v>
      </c>
      <c r="J168" s="6" t="s">
        <v>7</v>
      </c>
      <c r="K168" s="6">
        <v>3970</v>
      </c>
      <c r="L168" s="6">
        <v>28</v>
      </c>
      <c r="N168" s="6">
        <f t="shared" si="10"/>
        <v>140</v>
      </c>
      <c r="O168" s="6" t="s">
        <v>51</v>
      </c>
      <c r="P168" s="41">
        <v>3</v>
      </c>
      <c r="Q168" s="41" t="s">
        <v>13</v>
      </c>
      <c r="R168" s="41" t="s">
        <v>7</v>
      </c>
      <c r="S168" s="41">
        <v>3930</v>
      </c>
      <c r="T168" s="41">
        <v>28</v>
      </c>
      <c r="U168" s="6">
        <f t="shared" si="14"/>
        <v>84</v>
      </c>
      <c r="V168" s="6">
        <f t="shared" si="15"/>
        <v>7.0947504000000006</v>
      </c>
    </row>
    <row r="169" spans="7:22" x14ac:dyDescent="0.25">
      <c r="G169" s="6">
        <v>158</v>
      </c>
      <c r="H169" s="6">
        <v>16</v>
      </c>
      <c r="I169" s="6" t="s">
        <v>13</v>
      </c>
      <c r="J169" s="6" t="s">
        <v>7</v>
      </c>
      <c r="K169" s="6">
        <v>3980</v>
      </c>
      <c r="L169" s="6">
        <v>28</v>
      </c>
      <c r="N169" s="6">
        <f t="shared" si="10"/>
        <v>448</v>
      </c>
      <c r="O169" s="6" t="s">
        <v>51</v>
      </c>
      <c r="P169" s="41">
        <v>11</v>
      </c>
      <c r="Q169" s="41" t="s">
        <v>13</v>
      </c>
      <c r="R169" s="41" t="s">
        <v>7</v>
      </c>
      <c r="S169" s="41">
        <v>3950</v>
      </c>
      <c r="T169" s="41">
        <v>28</v>
      </c>
      <c r="U169" s="6">
        <f t="shared" si="14"/>
        <v>308</v>
      </c>
      <c r="V169" s="6">
        <f t="shared" si="15"/>
        <v>26.146472000000003</v>
      </c>
    </row>
    <row r="170" spans="7:22" x14ac:dyDescent="0.25">
      <c r="G170" s="6">
        <v>159</v>
      </c>
      <c r="H170" s="6">
        <v>1</v>
      </c>
      <c r="I170" s="6" t="s">
        <v>13</v>
      </c>
      <c r="J170" s="6" t="s">
        <v>7</v>
      </c>
      <c r="K170" s="6">
        <v>3990</v>
      </c>
      <c r="L170" s="6">
        <v>28</v>
      </c>
      <c r="N170" s="6">
        <f t="shared" si="10"/>
        <v>28</v>
      </c>
      <c r="O170" s="6" t="s">
        <v>51</v>
      </c>
      <c r="P170" s="41">
        <v>5</v>
      </c>
      <c r="Q170" s="41" t="s">
        <v>13</v>
      </c>
      <c r="R170" s="41" t="s">
        <v>7</v>
      </c>
      <c r="S170" s="41">
        <v>3970</v>
      </c>
      <c r="T170" s="41">
        <v>28</v>
      </c>
      <c r="U170" s="6">
        <f t="shared" si="14"/>
        <v>140</v>
      </c>
      <c r="V170" s="6">
        <f t="shared" si="15"/>
        <v>11.944935999999998</v>
      </c>
    </row>
    <row r="171" spans="7:22" x14ac:dyDescent="0.25">
      <c r="G171" s="6">
        <v>160</v>
      </c>
      <c r="H171" s="6">
        <v>10</v>
      </c>
      <c r="I171" s="6" t="s">
        <v>13</v>
      </c>
      <c r="J171" s="6" t="s">
        <v>7</v>
      </c>
      <c r="K171" s="6">
        <v>4000</v>
      </c>
      <c r="L171" s="6">
        <v>28</v>
      </c>
      <c r="N171" s="6">
        <f t="shared" si="10"/>
        <v>280</v>
      </c>
      <c r="O171" s="6" t="s">
        <v>51</v>
      </c>
      <c r="P171" s="41">
        <v>16</v>
      </c>
      <c r="Q171" s="41" t="s">
        <v>13</v>
      </c>
      <c r="R171" s="41" t="s">
        <v>7</v>
      </c>
      <c r="S171" s="41">
        <v>3980</v>
      </c>
      <c r="T171" s="41">
        <v>28</v>
      </c>
      <c r="U171" s="6">
        <f t="shared" si="14"/>
        <v>448</v>
      </c>
      <c r="V171" s="6">
        <f t="shared" si="15"/>
        <v>38.320076799999995</v>
      </c>
    </row>
    <row r="172" spans="7:22" x14ac:dyDescent="0.25">
      <c r="G172" s="6">
        <v>161</v>
      </c>
      <c r="H172" s="6">
        <v>8</v>
      </c>
      <c r="I172" s="6" t="s">
        <v>13</v>
      </c>
      <c r="J172" s="6" t="s">
        <v>7</v>
      </c>
      <c r="K172" s="6">
        <v>4010</v>
      </c>
      <c r="L172" s="6">
        <v>29</v>
      </c>
      <c r="N172" s="6">
        <f t="shared" si="10"/>
        <v>232</v>
      </c>
      <c r="O172" s="6" t="s">
        <v>51</v>
      </c>
      <c r="P172" s="41">
        <v>1</v>
      </c>
      <c r="Q172" s="41" t="s">
        <v>13</v>
      </c>
      <c r="R172" s="41" t="s">
        <v>7</v>
      </c>
      <c r="S172" s="41">
        <v>3990</v>
      </c>
      <c r="T172" s="41">
        <v>28</v>
      </c>
      <c r="U172" s="6">
        <f t="shared" si="14"/>
        <v>28</v>
      </c>
      <c r="V172" s="6">
        <f t="shared" si="15"/>
        <v>2.4010224</v>
      </c>
    </row>
    <row r="173" spans="7:22" x14ac:dyDescent="0.25">
      <c r="G173" s="6">
        <v>162</v>
      </c>
      <c r="H173" s="6">
        <v>1</v>
      </c>
      <c r="I173" s="6" t="s">
        <v>13</v>
      </c>
      <c r="J173" s="6" t="s">
        <v>7</v>
      </c>
      <c r="K173" s="6">
        <v>4020</v>
      </c>
      <c r="L173" s="6">
        <v>29</v>
      </c>
      <c r="N173" s="6">
        <f t="shared" si="10"/>
        <v>29</v>
      </c>
      <c r="O173" s="6" t="s">
        <v>51</v>
      </c>
      <c r="P173" s="41">
        <v>10</v>
      </c>
      <c r="Q173" s="41" t="s">
        <v>13</v>
      </c>
      <c r="R173" s="41" t="s">
        <v>7</v>
      </c>
      <c r="S173" s="41">
        <v>4000</v>
      </c>
      <c r="T173" s="41">
        <v>28</v>
      </c>
      <c r="U173" s="6">
        <f t="shared" si="14"/>
        <v>280</v>
      </c>
      <c r="V173" s="6">
        <f t="shared" si="15"/>
        <v>24.070399999999999</v>
      </c>
    </row>
    <row r="174" spans="7:22" x14ac:dyDescent="0.25">
      <c r="G174" s="6">
        <v>163</v>
      </c>
      <c r="H174" s="6">
        <v>3</v>
      </c>
      <c r="I174" s="6" t="s">
        <v>13</v>
      </c>
      <c r="J174" s="6" t="s">
        <v>7</v>
      </c>
      <c r="K174" s="6">
        <v>4050</v>
      </c>
      <c r="L174" s="6">
        <v>29</v>
      </c>
      <c r="N174" s="6">
        <f t="shared" si="10"/>
        <v>87</v>
      </c>
      <c r="O174" s="6" t="s">
        <v>51</v>
      </c>
      <c r="P174" s="41">
        <v>8</v>
      </c>
      <c r="Q174" s="41" t="s">
        <v>13</v>
      </c>
      <c r="R174" s="41" t="s">
        <v>7</v>
      </c>
      <c r="S174" s="41">
        <v>4010</v>
      </c>
      <c r="T174" s="41">
        <v>29</v>
      </c>
      <c r="U174" s="6">
        <f t="shared" si="14"/>
        <v>232</v>
      </c>
      <c r="V174" s="6">
        <f t="shared" si="15"/>
        <v>19.304460799999998</v>
      </c>
    </row>
    <row r="175" spans="7:22" x14ac:dyDescent="0.25">
      <c r="G175" s="6">
        <v>164</v>
      </c>
      <c r="H175" s="6">
        <v>1</v>
      </c>
      <c r="I175" s="6" t="s">
        <v>13</v>
      </c>
      <c r="J175" s="6" t="s">
        <v>7</v>
      </c>
      <c r="K175" s="6">
        <v>4070</v>
      </c>
      <c r="L175" s="6">
        <v>29</v>
      </c>
      <c r="N175" s="6">
        <f t="shared" si="10"/>
        <v>29</v>
      </c>
      <c r="O175" s="6" t="s">
        <v>51</v>
      </c>
      <c r="P175" s="41">
        <v>1</v>
      </c>
      <c r="Q175" s="41" t="s">
        <v>13</v>
      </c>
      <c r="R175" s="41" t="s">
        <v>7</v>
      </c>
      <c r="S175" s="41">
        <v>4020</v>
      </c>
      <c r="T175" s="41">
        <v>29</v>
      </c>
      <c r="U175" s="6">
        <f t="shared" si="14"/>
        <v>29</v>
      </c>
      <c r="V175" s="6">
        <f t="shared" si="15"/>
        <v>2.4190751999999995</v>
      </c>
    </row>
    <row r="176" spans="7:22" x14ac:dyDescent="0.25">
      <c r="G176" s="6">
        <v>165</v>
      </c>
      <c r="H176" s="6">
        <v>8</v>
      </c>
      <c r="I176" s="6" t="s">
        <v>13</v>
      </c>
      <c r="J176" s="6" t="s">
        <v>7</v>
      </c>
      <c r="K176" s="6">
        <v>4080</v>
      </c>
      <c r="L176" s="6">
        <v>29</v>
      </c>
      <c r="N176" s="6">
        <f t="shared" si="10"/>
        <v>232</v>
      </c>
      <c r="O176" s="6" t="s">
        <v>51</v>
      </c>
      <c r="P176" s="41">
        <v>3</v>
      </c>
      <c r="Q176" s="41" t="s">
        <v>13</v>
      </c>
      <c r="R176" s="41" t="s">
        <v>7</v>
      </c>
      <c r="S176" s="41">
        <v>4050</v>
      </c>
      <c r="T176" s="41">
        <v>29</v>
      </c>
      <c r="U176" s="6">
        <f t="shared" si="14"/>
        <v>87</v>
      </c>
      <c r="V176" s="6">
        <f t="shared" si="15"/>
        <v>7.3113839999999986</v>
      </c>
    </row>
    <row r="177" spans="7:22" x14ac:dyDescent="0.25">
      <c r="G177" s="6">
        <v>166</v>
      </c>
      <c r="H177" s="6">
        <v>6</v>
      </c>
      <c r="I177" s="6" t="s">
        <v>13</v>
      </c>
      <c r="J177" s="6" t="s">
        <v>7</v>
      </c>
      <c r="K177" s="6">
        <v>4090</v>
      </c>
      <c r="L177" s="6">
        <v>29</v>
      </c>
      <c r="N177" s="6">
        <f t="shared" si="10"/>
        <v>174</v>
      </c>
      <c r="O177" s="6" t="s">
        <v>51</v>
      </c>
      <c r="P177" s="41">
        <v>1</v>
      </c>
      <c r="Q177" s="41" t="s">
        <v>13</v>
      </c>
      <c r="R177" s="41" t="s">
        <v>7</v>
      </c>
      <c r="S177" s="41">
        <v>4070</v>
      </c>
      <c r="T177" s="41">
        <v>29</v>
      </c>
      <c r="U177" s="6">
        <f t="shared" si="14"/>
        <v>29</v>
      </c>
      <c r="V177" s="6">
        <f t="shared" si="15"/>
        <v>2.4491632000000001</v>
      </c>
    </row>
    <row r="178" spans="7:22" x14ac:dyDescent="0.25">
      <c r="G178" s="6">
        <v>167</v>
      </c>
      <c r="H178" s="6">
        <v>3</v>
      </c>
      <c r="I178" s="6" t="s">
        <v>13</v>
      </c>
      <c r="J178" s="6" t="s">
        <v>7</v>
      </c>
      <c r="K178" s="6">
        <v>4100</v>
      </c>
      <c r="L178" s="6">
        <v>29</v>
      </c>
      <c r="N178" s="6">
        <f t="shared" si="10"/>
        <v>87</v>
      </c>
      <c r="O178" s="6" t="s">
        <v>51</v>
      </c>
      <c r="P178" s="41">
        <v>8</v>
      </c>
      <c r="Q178" s="41" t="s">
        <v>13</v>
      </c>
      <c r="R178" s="41" t="s">
        <v>7</v>
      </c>
      <c r="S178" s="41">
        <v>4080</v>
      </c>
      <c r="T178" s="41">
        <v>29</v>
      </c>
      <c r="U178" s="6">
        <f t="shared" si="14"/>
        <v>232</v>
      </c>
      <c r="V178" s="6">
        <f t="shared" si="15"/>
        <v>19.6414464</v>
      </c>
    </row>
    <row r="179" spans="7:22" x14ac:dyDescent="0.25">
      <c r="G179" s="6">
        <v>168</v>
      </c>
      <c r="H179" s="6">
        <v>3</v>
      </c>
      <c r="I179" s="6" t="s">
        <v>13</v>
      </c>
      <c r="J179" s="6" t="s">
        <v>7</v>
      </c>
      <c r="K179" s="6">
        <v>4150</v>
      </c>
      <c r="L179" s="6">
        <v>29</v>
      </c>
      <c r="N179" s="6">
        <f t="shared" si="10"/>
        <v>87</v>
      </c>
      <c r="O179" s="6" t="s">
        <v>51</v>
      </c>
      <c r="P179" s="41">
        <v>6</v>
      </c>
      <c r="Q179" s="41" t="s">
        <v>13</v>
      </c>
      <c r="R179" s="41" t="s">
        <v>7</v>
      </c>
      <c r="S179" s="41">
        <v>4090</v>
      </c>
      <c r="T179" s="41">
        <v>29</v>
      </c>
      <c r="U179" s="6">
        <f t="shared" si="14"/>
        <v>174</v>
      </c>
      <c r="V179" s="6">
        <f t="shared" si="15"/>
        <v>14.767190399999999</v>
      </c>
    </row>
    <row r="180" spans="7:22" x14ac:dyDescent="0.25">
      <c r="G180" s="6">
        <v>169</v>
      </c>
      <c r="H180" s="6">
        <v>3</v>
      </c>
      <c r="I180" s="6" t="s">
        <v>13</v>
      </c>
      <c r="J180" s="6" t="s">
        <v>7</v>
      </c>
      <c r="K180" s="6">
        <v>4240</v>
      </c>
      <c r="L180" s="6">
        <v>30</v>
      </c>
      <c r="N180" s="6">
        <f t="shared" si="10"/>
        <v>90</v>
      </c>
      <c r="O180" s="6" t="s">
        <v>51</v>
      </c>
      <c r="P180" s="41">
        <v>3</v>
      </c>
      <c r="Q180" s="41" t="s">
        <v>13</v>
      </c>
      <c r="R180" s="41" t="s">
        <v>7</v>
      </c>
      <c r="S180" s="41">
        <v>4100</v>
      </c>
      <c r="T180" s="41">
        <v>29</v>
      </c>
      <c r="U180" s="6">
        <f t="shared" si="14"/>
        <v>87</v>
      </c>
      <c r="V180" s="6">
        <f t="shared" si="15"/>
        <v>7.4016479999999989</v>
      </c>
    </row>
    <row r="181" spans="7:22" x14ac:dyDescent="0.25">
      <c r="G181" s="6">
        <v>170</v>
      </c>
      <c r="H181" s="6">
        <v>3</v>
      </c>
      <c r="I181" s="6" t="s">
        <v>13</v>
      </c>
      <c r="J181" s="6" t="s">
        <v>7</v>
      </c>
      <c r="K181" s="6">
        <v>4830</v>
      </c>
      <c r="L181" s="6">
        <v>34</v>
      </c>
      <c r="N181" s="6">
        <f t="shared" si="10"/>
        <v>102</v>
      </c>
      <c r="O181" s="6" t="s">
        <v>51</v>
      </c>
      <c r="P181" s="41">
        <v>3</v>
      </c>
      <c r="Q181" s="41" t="s">
        <v>13</v>
      </c>
      <c r="R181" s="41" t="s">
        <v>7</v>
      </c>
      <c r="S181" s="41">
        <v>4150</v>
      </c>
      <c r="T181" s="41">
        <v>29</v>
      </c>
      <c r="U181" s="6">
        <f t="shared" si="14"/>
        <v>87</v>
      </c>
      <c r="V181" s="6">
        <f t="shared" si="15"/>
        <v>7.491912000000001</v>
      </c>
    </row>
    <row r="182" spans="7:22" x14ac:dyDescent="0.25">
      <c r="G182" s="6">
        <v>171</v>
      </c>
      <c r="H182" s="6">
        <v>4</v>
      </c>
      <c r="I182" s="6" t="s">
        <v>13</v>
      </c>
      <c r="J182" s="6" t="s">
        <v>7</v>
      </c>
      <c r="K182" s="6">
        <v>4930</v>
      </c>
      <c r="L182" s="6">
        <v>35</v>
      </c>
      <c r="N182" s="6">
        <f t="shared" si="10"/>
        <v>140</v>
      </c>
      <c r="O182" s="6" t="s">
        <v>51</v>
      </c>
      <c r="P182" s="41">
        <v>3</v>
      </c>
      <c r="Q182" s="41" t="s">
        <v>13</v>
      </c>
      <c r="R182" s="41" t="s">
        <v>7</v>
      </c>
      <c r="S182" s="41">
        <v>4240</v>
      </c>
      <c r="T182" s="41">
        <v>30</v>
      </c>
      <c r="U182" s="6">
        <f t="shared" si="14"/>
        <v>90</v>
      </c>
      <c r="V182" s="6">
        <f t="shared" si="15"/>
        <v>7.6543872000000004</v>
      </c>
    </row>
    <row r="183" spans="7:22" x14ac:dyDescent="0.25">
      <c r="G183" s="6">
        <v>172</v>
      </c>
      <c r="H183" s="6">
        <v>5</v>
      </c>
      <c r="I183" s="6" t="s">
        <v>13</v>
      </c>
      <c r="J183" s="6" t="s">
        <v>7</v>
      </c>
      <c r="K183" s="6">
        <v>4950</v>
      </c>
      <c r="L183" s="6">
        <v>35</v>
      </c>
      <c r="N183" s="6">
        <f t="shared" si="10"/>
        <v>175</v>
      </c>
      <c r="O183" s="6" t="s">
        <v>51</v>
      </c>
      <c r="P183" s="41">
        <v>3</v>
      </c>
      <c r="Q183" s="41" t="s">
        <v>13</v>
      </c>
      <c r="R183" s="41" t="s">
        <v>7</v>
      </c>
      <c r="S183" s="41">
        <v>4830</v>
      </c>
      <c r="T183" s="41">
        <v>34</v>
      </c>
      <c r="U183" s="6">
        <f t="shared" si="14"/>
        <v>102</v>
      </c>
      <c r="V183" s="6">
        <f t="shared" si="15"/>
        <v>8.7195023999999997</v>
      </c>
    </row>
    <row r="184" spans="7:22" x14ac:dyDescent="0.25">
      <c r="G184" s="6">
        <v>173</v>
      </c>
      <c r="H184" s="6">
        <v>8</v>
      </c>
      <c r="I184" s="6" t="s">
        <v>13</v>
      </c>
      <c r="J184" s="6" t="s">
        <v>7</v>
      </c>
      <c r="K184" s="6">
        <v>4990</v>
      </c>
      <c r="L184" s="6">
        <v>35</v>
      </c>
      <c r="N184" s="6">
        <f t="shared" si="10"/>
        <v>280</v>
      </c>
      <c r="O184" s="6" t="s">
        <v>51</v>
      </c>
      <c r="P184" s="41">
        <v>4</v>
      </c>
      <c r="Q184" s="41" t="s">
        <v>13</v>
      </c>
      <c r="R184" s="41" t="s">
        <v>7</v>
      </c>
      <c r="S184" s="41">
        <v>4930</v>
      </c>
      <c r="T184" s="41">
        <v>35</v>
      </c>
      <c r="U184" s="6">
        <f t="shared" si="14"/>
        <v>140</v>
      </c>
      <c r="V184" s="6">
        <f t="shared" si="15"/>
        <v>11.866707199999999</v>
      </c>
    </row>
    <row r="185" spans="7:22" x14ac:dyDescent="0.25">
      <c r="G185" s="6">
        <v>174</v>
      </c>
      <c r="H185" s="6">
        <v>17</v>
      </c>
      <c r="I185" s="6" t="s">
        <v>13</v>
      </c>
      <c r="J185" s="6" t="s">
        <v>7</v>
      </c>
      <c r="K185" s="6">
        <v>5000</v>
      </c>
      <c r="L185" s="6">
        <v>36</v>
      </c>
      <c r="N185" s="6">
        <f t="shared" si="10"/>
        <v>612</v>
      </c>
      <c r="O185" s="6" t="s">
        <v>51</v>
      </c>
      <c r="P185" s="41">
        <v>5</v>
      </c>
      <c r="Q185" s="41" t="s">
        <v>13</v>
      </c>
      <c r="R185" s="41" t="s">
        <v>7</v>
      </c>
      <c r="S185" s="41">
        <v>4950</v>
      </c>
      <c r="T185" s="41">
        <v>35</v>
      </c>
      <c r="U185" s="6">
        <f t="shared" si="14"/>
        <v>175</v>
      </c>
      <c r="V185" s="6">
        <f t="shared" si="15"/>
        <v>14.893559999999999</v>
      </c>
    </row>
    <row r="186" spans="7:22" x14ac:dyDescent="0.25">
      <c r="G186" s="6">
        <v>175</v>
      </c>
      <c r="H186" s="6">
        <v>3</v>
      </c>
      <c r="I186" s="6" t="s">
        <v>13</v>
      </c>
      <c r="J186" s="6" t="s">
        <v>7</v>
      </c>
      <c r="K186" s="6">
        <v>5020</v>
      </c>
      <c r="L186" s="6">
        <v>36</v>
      </c>
      <c r="N186" s="6">
        <f t="shared" si="10"/>
        <v>108</v>
      </c>
      <c r="O186" s="6" t="s">
        <v>51</v>
      </c>
      <c r="P186" s="41">
        <v>8</v>
      </c>
      <c r="Q186" s="41" t="s">
        <v>13</v>
      </c>
      <c r="R186" s="41" t="s">
        <v>7</v>
      </c>
      <c r="S186" s="41">
        <v>4990</v>
      </c>
      <c r="T186" s="41">
        <v>35</v>
      </c>
      <c r="U186" s="6">
        <f t="shared" si="14"/>
        <v>280</v>
      </c>
      <c r="V186" s="6">
        <f t="shared" si="15"/>
        <v>24.022259200000001</v>
      </c>
    </row>
    <row r="187" spans="7:22" x14ac:dyDescent="0.25">
      <c r="G187" s="6">
        <v>176</v>
      </c>
      <c r="H187" s="6">
        <v>7</v>
      </c>
      <c r="I187" s="6" t="s">
        <v>13</v>
      </c>
      <c r="J187" s="6" t="s">
        <v>7</v>
      </c>
      <c r="K187" s="6">
        <v>5030</v>
      </c>
      <c r="L187" s="6">
        <v>36</v>
      </c>
      <c r="N187" s="6">
        <f t="shared" si="10"/>
        <v>252</v>
      </c>
      <c r="O187" s="6" t="s">
        <v>51</v>
      </c>
      <c r="P187" s="41">
        <v>17</v>
      </c>
      <c r="Q187" s="41" t="s">
        <v>13</v>
      </c>
      <c r="R187" s="41" t="s">
        <v>7</v>
      </c>
      <c r="S187" s="41">
        <v>5000</v>
      </c>
      <c r="T187" s="41">
        <v>36</v>
      </c>
      <c r="U187" s="6">
        <f t="shared" si="14"/>
        <v>612</v>
      </c>
      <c r="V187" s="6">
        <f t="shared" si="15"/>
        <v>51.1496</v>
      </c>
    </row>
    <row r="188" spans="7:22" x14ac:dyDescent="0.25">
      <c r="G188" s="6">
        <v>177</v>
      </c>
      <c r="H188" s="6">
        <v>8</v>
      </c>
      <c r="I188" s="6" t="s">
        <v>13</v>
      </c>
      <c r="J188" s="6" t="s">
        <v>7</v>
      </c>
      <c r="K188" s="6">
        <v>5690</v>
      </c>
      <c r="L188" s="6">
        <v>40</v>
      </c>
      <c r="N188" s="6">
        <f t="shared" si="10"/>
        <v>320</v>
      </c>
      <c r="O188" s="6" t="s">
        <v>51</v>
      </c>
      <c r="P188" s="41">
        <v>3</v>
      </c>
      <c r="Q188" s="41" t="s">
        <v>13</v>
      </c>
      <c r="R188" s="41" t="s">
        <v>7</v>
      </c>
      <c r="S188" s="41">
        <v>5020</v>
      </c>
      <c r="T188" s="41">
        <v>36</v>
      </c>
      <c r="U188" s="6">
        <f t="shared" si="14"/>
        <v>108</v>
      </c>
      <c r="V188" s="6">
        <f t="shared" si="15"/>
        <v>9.0625055999999979</v>
      </c>
    </row>
    <row r="189" spans="7:22" x14ac:dyDescent="0.25">
      <c r="G189" s="6">
        <v>178</v>
      </c>
      <c r="H189" s="6">
        <v>1</v>
      </c>
      <c r="I189" s="6" t="s">
        <v>13</v>
      </c>
      <c r="J189" s="6" t="s">
        <v>7</v>
      </c>
      <c r="K189" s="6">
        <v>5900</v>
      </c>
      <c r="L189" s="6">
        <v>42</v>
      </c>
      <c r="N189" s="6">
        <f t="shared" si="10"/>
        <v>42</v>
      </c>
      <c r="O189" s="6" t="s">
        <v>51</v>
      </c>
      <c r="P189" s="41">
        <v>7</v>
      </c>
      <c r="Q189" s="41" t="s">
        <v>13</v>
      </c>
      <c r="R189" s="41" t="s">
        <v>7</v>
      </c>
      <c r="S189" s="41">
        <v>5030</v>
      </c>
      <c r="T189" s="41">
        <v>36</v>
      </c>
      <c r="U189" s="6">
        <f t="shared" si="14"/>
        <v>252</v>
      </c>
      <c r="V189" s="6">
        <f t="shared" si="15"/>
        <v>21.187969599999999</v>
      </c>
    </row>
    <row r="190" spans="7:22" x14ac:dyDescent="0.25">
      <c r="G190" s="6">
        <v>179</v>
      </c>
      <c r="H190" s="6">
        <v>9</v>
      </c>
      <c r="I190" s="6" t="s">
        <v>13</v>
      </c>
      <c r="J190" s="6" t="s">
        <v>7</v>
      </c>
      <c r="K190" s="6">
        <v>5920</v>
      </c>
      <c r="L190" s="6">
        <v>42</v>
      </c>
      <c r="N190" s="6">
        <f t="shared" si="10"/>
        <v>378</v>
      </c>
      <c r="O190" s="6" t="s">
        <v>51</v>
      </c>
      <c r="P190" s="41">
        <v>8</v>
      </c>
      <c r="Q190" s="41" t="s">
        <v>13</v>
      </c>
      <c r="R190" s="41" t="s">
        <v>7</v>
      </c>
      <c r="S190" s="41">
        <v>5690</v>
      </c>
      <c r="T190" s="41">
        <v>40</v>
      </c>
      <c r="U190" s="6">
        <f t="shared" si="14"/>
        <v>320</v>
      </c>
      <c r="V190" s="6">
        <f t="shared" si="15"/>
        <v>27.392115199999999</v>
      </c>
    </row>
    <row r="191" spans="7:22" x14ac:dyDescent="0.25">
      <c r="G191" s="6">
        <v>180</v>
      </c>
      <c r="H191" s="6">
        <v>2</v>
      </c>
      <c r="I191" s="6" t="s">
        <v>13</v>
      </c>
      <c r="J191" s="6" t="s">
        <v>7</v>
      </c>
      <c r="K191" s="6">
        <v>5930</v>
      </c>
      <c r="L191" s="6">
        <v>42</v>
      </c>
      <c r="N191" s="6">
        <f t="shared" si="10"/>
        <v>84</v>
      </c>
      <c r="O191" s="6" t="s">
        <v>51</v>
      </c>
      <c r="P191" s="41">
        <v>1</v>
      </c>
      <c r="Q191" s="41" t="s">
        <v>13</v>
      </c>
      <c r="R191" s="41" t="s">
        <v>7</v>
      </c>
      <c r="S191" s="41">
        <v>5900</v>
      </c>
      <c r="T191" s="41">
        <v>42</v>
      </c>
      <c r="U191" s="6">
        <f t="shared" si="14"/>
        <v>42</v>
      </c>
      <c r="V191" s="6">
        <f t="shared" si="15"/>
        <v>3.5503840000000002</v>
      </c>
    </row>
    <row r="192" spans="7:22" x14ac:dyDescent="0.25">
      <c r="G192" s="6">
        <v>181</v>
      </c>
      <c r="H192" s="6">
        <v>2</v>
      </c>
      <c r="I192" s="6" t="s">
        <v>13</v>
      </c>
      <c r="J192" s="6" t="s">
        <v>7</v>
      </c>
      <c r="K192" s="6">
        <v>5940</v>
      </c>
      <c r="L192" s="6">
        <v>42</v>
      </c>
      <c r="N192" s="6">
        <f t="shared" si="10"/>
        <v>84</v>
      </c>
      <c r="O192" s="6" t="s">
        <v>51</v>
      </c>
      <c r="P192" s="41">
        <v>9</v>
      </c>
      <c r="Q192" s="41" t="s">
        <v>13</v>
      </c>
      <c r="R192" s="41" t="s">
        <v>7</v>
      </c>
      <c r="S192" s="41">
        <v>5920</v>
      </c>
      <c r="T192" s="41">
        <v>42</v>
      </c>
      <c r="U192" s="6">
        <f t="shared" si="14"/>
        <v>378</v>
      </c>
      <c r="V192" s="6">
        <f t="shared" si="15"/>
        <v>32.0617728</v>
      </c>
    </row>
    <row r="193" spans="7:22" x14ac:dyDescent="0.25">
      <c r="G193" s="6">
        <v>182</v>
      </c>
      <c r="H193" s="6">
        <v>8</v>
      </c>
      <c r="I193" s="6" t="s">
        <v>13</v>
      </c>
      <c r="J193" s="6" t="s">
        <v>7</v>
      </c>
      <c r="K193" s="6">
        <v>6000</v>
      </c>
      <c r="L193" s="6">
        <v>43</v>
      </c>
      <c r="N193" s="6">
        <f t="shared" si="10"/>
        <v>344</v>
      </c>
      <c r="O193" s="6" t="s">
        <v>51</v>
      </c>
      <c r="P193" s="41">
        <v>2</v>
      </c>
      <c r="Q193" s="41" t="s">
        <v>13</v>
      </c>
      <c r="R193" s="41" t="s">
        <v>7</v>
      </c>
      <c r="S193" s="41">
        <v>5930</v>
      </c>
      <c r="T193" s="41">
        <v>42</v>
      </c>
      <c r="U193" s="6">
        <f t="shared" si="14"/>
        <v>84</v>
      </c>
      <c r="V193" s="6">
        <f t="shared" si="15"/>
        <v>7.1368735999999995</v>
      </c>
    </row>
    <row r="194" spans="7:22" x14ac:dyDescent="0.25">
      <c r="G194" s="6">
        <v>183</v>
      </c>
      <c r="H194" s="6">
        <v>3</v>
      </c>
      <c r="I194" s="6" t="s">
        <v>13</v>
      </c>
      <c r="J194" s="6" t="s">
        <v>7</v>
      </c>
      <c r="K194" s="6">
        <v>6900</v>
      </c>
      <c r="L194" s="6">
        <v>49</v>
      </c>
      <c r="N194" s="6">
        <f t="shared" si="10"/>
        <v>147</v>
      </c>
      <c r="O194" s="6" t="s">
        <v>51</v>
      </c>
      <c r="P194" s="41">
        <v>2</v>
      </c>
      <c r="Q194" s="41" t="s">
        <v>13</v>
      </c>
      <c r="R194" s="41" t="s">
        <v>7</v>
      </c>
      <c r="S194" s="41">
        <v>5940</v>
      </c>
      <c r="T194" s="41">
        <v>42</v>
      </c>
      <c r="U194" s="6">
        <f t="shared" si="14"/>
        <v>84</v>
      </c>
      <c r="V194" s="6">
        <f t="shared" si="15"/>
        <v>7.1489088000000001</v>
      </c>
    </row>
    <row r="195" spans="7:22" x14ac:dyDescent="0.25">
      <c r="G195" s="6">
        <v>184</v>
      </c>
      <c r="H195" s="6">
        <v>4</v>
      </c>
      <c r="I195" s="6" t="s">
        <v>14</v>
      </c>
      <c r="J195" s="6" t="s">
        <v>7</v>
      </c>
      <c r="K195" s="6">
        <v>200</v>
      </c>
      <c r="L195" s="6">
        <v>1</v>
      </c>
      <c r="N195" s="6">
        <f t="shared" si="10"/>
        <v>4</v>
      </c>
      <c r="O195" s="6" t="s">
        <v>51</v>
      </c>
      <c r="P195" s="41">
        <v>8</v>
      </c>
      <c r="Q195" s="41" t="s">
        <v>13</v>
      </c>
      <c r="R195" s="41" t="s">
        <v>7</v>
      </c>
      <c r="S195" s="41">
        <v>6000</v>
      </c>
      <c r="T195" s="41">
        <v>43</v>
      </c>
      <c r="U195" s="6">
        <f t="shared" si="14"/>
        <v>344</v>
      </c>
      <c r="V195" s="6">
        <f t="shared" si="15"/>
        <v>28.884479999999996</v>
      </c>
    </row>
    <row r="196" spans="7:22" x14ac:dyDescent="0.25">
      <c r="G196" s="6">
        <v>185</v>
      </c>
      <c r="H196" s="6">
        <v>8</v>
      </c>
      <c r="I196" s="6" t="s">
        <v>14</v>
      </c>
      <c r="J196" s="6" t="s">
        <v>7</v>
      </c>
      <c r="K196" s="6">
        <v>400</v>
      </c>
      <c r="L196" s="6">
        <v>2</v>
      </c>
      <c r="N196" s="6">
        <f t="shared" si="10"/>
        <v>16</v>
      </c>
      <c r="O196" s="6" t="s">
        <v>51</v>
      </c>
      <c r="P196" s="41">
        <v>3</v>
      </c>
      <c r="Q196" s="41" t="s">
        <v>13</v>
      </c>
      <c r="R196" s="41" t="s">
        <v>7</v>
      </c>
      <c r="S196" s="41">
        <v>6900</v>
      </c>
      <c r="T196" s="41">
        <v>49</v>
      </c>
      <c r="U196" s="6">
        <f t="shared" si="14"/>
        <v>147</v>
      </c>
      <c r="V196" s="6">
        <f t="shared" si="15"/>
        <v>12.456432</v>
      </c>
    </row>
    <row r="197" spans="7:22" x14ac:dyDescent="0.25">
      <c r="G197" s="6">
        <v>186</v>
      </c>
      <c r="H197" s="6">
        <v>4</v>
      </c>
      <c r="I197" s="6" t="s">
        <v>14</v>
      </c>
      <c r="J197" s="6" t="s">
        <v>7</v>
      </c>
      <c r="K197" s="6">
        <v>490</v>
      </c>
      <c r="L197" s="6">
        <v>3</v>
      </c>
      <c r="N197" s="6">
        <f t="shared" si="10"/>
        <v>12</v>
      </c>
      <c r="O197" s="6" t="s">
        <v>50</v>
      </c>
      <c r="P197" s="44">
        <v>4</v>
      </c>
      <c r="Q197" s="44" t="s">
        <v>14</v>
      </c>
      <c r="R197" s="44" t="s">
        <v>7</v>
      </c>
      <c r="S197" s="44">
        <v>200</v>
      </c>
      <c r="T197" s="44">
        <v>1</v>
      </c>
      <c r="U197" s="6">
        <f t="shared" si="14"/>
        <v>4</v>
      </c>
      <c r="V197" s="6">
        <f t="shared" ref="V197:V205" si="16">(0.15+0.075+0.02+0.075+0.02+0.002+0.002+0.071+0.071+0.018+0.018+0.146)*(S197/1000)*P197</f>
        <v>0.5344000000000001</v>
      </c>
    </row>
    <row r="198" spans="7:22" x14ac:dyDescent="0.25">
      <c r="G198" s="6">
        <v>187</v>
      </c>
      <c r="H198" s="6">
        <v>4</v>
      </c>
      <c r="I198" s="6" t="s">
        <v>14</v>
      </c>
      <c r="J198" s="6" t="s">
        <v>7</v>
      </c>
      <c r="K198" s="6">
        <v>1560</v>
      </c>
      <c r="L198" s="6">
        <v>8</v>
      </c>
      <c r="N198" s="6">
        <f t="shared" si="10"/>
        <v>32</v>
      </c>
      <c r="O198" s="6" t="s">
        <v>49</v>
      </c>
      <c r="P198" s="42">
        <v>8</v>
      </c>
      <c r="Q198" s="42" t="s">
        <v>14</v>
      </c>
      <c r="R198" s="42" t="s">
        <v>7</v>
      </c>
      <c r="S198" s="42">
        <v>400</v>
      </c>
      <c r="T198" s="42">
        <v>2</v>
      </c>
      <c r="U198" s="6">
        <f t="shared" si="14"/>
        <v>16</v>
      </c>
      <c r="V198" s="6">
        <f t="shared" si="16"/>
        <v>2.1376000000000004</v>
      </c>
    </row>
    <row r="199" spans="7:22" x14ac:dyDescent="0.25">
      <c r="G199" s="6">
        <v>188</v>
      </c>
      <c r="H199" s="6">
        <v>2</v>
      </c>
      <c r="I199" s="6" t="s">
        <v>14</v>
      </c>
      <c r="J199" s="6" t="s">
        <v>7</v>
      </c>
      <c r="K199" s="6">
        <v>2020</v>
      </c>
      <c r="L199" s="6">
        <v>11</v>
      </c>
      <c r="N199" s="6">
        <f t="shared" si="10"/>
        <v>22</v>
      </c>
      <c r="O199" s="6" t="s">
        <v>50</v>
      </c>
      <c r="P199" s="44">
        <v>4</v>
      </c>
      <c r="Q199" s="44" t="s">
        <v>14</v>
      </c>
      <c r="R199" s="44" t="s">
        <v>7</v>
      </c>
      <c r="S199" s="44">
        <v>490</v>
      </c>
      <c r="T199" s="44">
        <v>3</v>
      </c>
      <c r="U199" s="6">
        <f t="shared" si="14"/>
        <v>12</v>
      </c>
      <c r="V199" s="6">
        <f t="shared" si="16"/>
        <v>1.30928</v>
      </c>
    </row>
    <row r="200" spans="7:22" x14ac:dyDescent="0.25">
      <c r="G200" s="6">
        <v>189</v>
      </c>
      <c r="H200" s="6">
        <v>2</v>
      </c>
      <c r="I200" s="6" t="s">
        <v>14</v>
      </c>
      <c r="J200" s="6" t="s">
        <v>7</v>
      </c>
      <c r="K200" s="6">
        <v>2030</v>
      </c>
      <c r="L200" s="6">
        <v>11</v>
      </c>
      <c r="N200" s="6">
        <f t="shared" si="10"/>
        <v>22</v>
      </c>
      <c r="O200" s="6" t="s">
        <v>50</v>
      </c>
      <c r="P200" s="44">
        <v>4</v>
      </c>
      <c r="Q200" s="44" t="s">
        <v>14</v>
      </c>
      <c r="R200" s="44" t="s">
        <v>7</v>
      </c>
      <c r="S200" s="44">
        <v>1560</v>
      </c>
      <c r="T200" s="44">
        <v>8</v>
      </c>
      <c r="U200" s="6">
        <f t="shared" si="14"/>
        <v>32</v>
      </c>
      <c r="V200" s="6">
        <f t="shared" si="16"/>
        <v>4.1683200000000005</v>
      </c>
    </row>
    <row r="201" spans="7:22" x14ac:dyDescent="0.25">
      <c r="G201" s="6">
        <v>190</v>
      </c>
      <c r="H201" s="6">
        <v>4</v>
      </c>
      <c r="I201" s="6" t="s">
        <v>14</v>
      </c>
      <c r="J201" s="6" t="s">
        <v>7</v>
      </c>
      <c r="K201" s="6">
        <v>4370</v>
      </c>
      <c r="L201" s="6">
        <v>23</v>
      </c>
      <c r="N201" s="6">
        <f t="shared" si="10"/>
        <v>92</v>
      </c>
      <c r="O201" s="6" t="s">
        <v>50</v>
      </c>
      <c r="P201" s="44">
        <v>2</v>
      </c>
      <c r="Q201" s="44" t="s">
        <v>14</v>
      </c>
      <c r="R201" s="44" t="s">
        <v>7</v>
      </c>
      <c r="S201" s="44">
        <v>2020</v>
      </c>
      <c r="T201" s="44">
        <v>11</v>
      </c>
      <c r="U201" s="6">
        <f t="shared" si="14"/>
        <v>22</v>
      </c>
      <c r="V201" s="6">
        <f t="shared" si="16"/>
        <v>2.6987200000000002</v>
      </c>
    </row>
    <row r="202" spans="7:22" x14ac:dyDescent="0.25">
      <c r="G202" s="6">
        <v>191</v>
      </c>
      <c r="H202" s="6">
        <v>4</v>
      </c>
      <c r="I202" s="6" t="s">
        <v>14</v>
      </c>
      <c r="J202" s="6" t="s">
        <v>7</v>
      </c>
      <c r="K202" s="6">
        <v>6680</v>
      </c>
      <c r="L202" s="6">
        <v>35</v>
      </c>
      <c r="N202" s="6">
        <f t="shared" si="10"/>
        <v>140</v>
      </c>
      <c r="O202" s="6" t="s">
        <v>50</v>
      </c>
      <c r="P202" s="44">
        <v>2</v>
      </c>
      <c r="Q202" s="44" t="s">
        <v>14</v>
      </c>
      <c r="R202" s="44" t="s">
        <v>7</v>
      </c>
      <c r="S202" s="44">
        <v>2030</v>
      </c>
      <c r="T202" s="44">
        <v>11</v>
      </c>
      <c r="U202" s="6">
        <f t="shared" si="14"/>
        <v>22</v>
      </c>
      <c r="V202" s="6">
        <f t="shared" si="16"/>
        <v>2.7120799999999998</v>
      </c>
    </row>
    <row r="203" spans="7:22" x14ac:dyDescent="0.25">
      <c r="G203" s="6">
        <v>192</v>
      </c>
      <c r="H203" s="6">
        <v>4</v>
      </c>
      <c r="I203" s="6" t="s">
        <v>14</v>
      </c>
      <c r="J203" s="6" t="s">
        <v>7</v>
      </c>
      <c r="K203" s="6">
        <v>7680</v>
      </c>
      <c r="L203" s="6">
        <v>40</v>
      </c>
      <c r="N203" s="6">
        <f t="shared" si="10"/>
        <v>160</v>
      </c>
      <c r="O203" s="6" t="s">
        <v>50</v>
      </c>
      <c r="P203" s="44">
        <v>4</v>
      </c>
      <c r="Q203" s="44" t="s">
        <v>14</v>
      </c>
      <c r="R203" s="44" t="s">
        <v>7</v>
      </c>
      <c r="S203" s="44">
        <v>4370</v>
      </c>
      <c r="T203" s="44">
        <v>23</v>
      </c>
      <c r="U203" s="6">
        <f t="shared" si="14"/>
        <v>92</v>
      </c>
      <c r="V203" s="6">
        <f t="shared" si="16"/>
        <v>11.676640000000001</v>
      </c>
    </row>
    <row r="204" spans="7:22" x14ac:dyDescent="0.25">
      <c r="G204" s="6">
        <v>193</v>
      </c>
      <c r="H204" s="6">
        <v>4</v>
      </c>
      <c r="I204" s="6" t="s">
        <v>15</v>
      </c>
      <c r="J204" s="6" t="s">
        <v>7</v>
      </c>
      <c r="K204" s="6">
        <v>1050</v>
      </c>
      <c r="L204" s="6">
        <v>8</v>
      </c>
      <c r="N204" s="6">
        <f t="shared" ref="N204:N212" si="17">L204*H204</f>
        <v>32</v>
      </c>
      <c r="O204" s="6" t="s">
        <v>50</v>
      </c>
      <c r="P204" s="44">
        <v>4</v>
      </c>
      <c r="Q204" s="44" t="s">
        <v>14</v>
      </c>
      <c r="R204" s="44" t="s">
        <v>7</v>
      </c>
      <c r="S204" s="44">
        <v>6680</v>
      </c>
      <c r="T204" s="44">
        <v>35</v>
      </c>
      <c r="U204" s="6">
        <f t="shared" si="14"/>
        <v>140</v>
      </c>
      <c r="V204" s="6">
        <f t="shared" si="16"/>
        <v>17.848960000000002</v>
      </c>
    </row>
    <row r="205" spans="7:22" x14ac:dyDescent="0.25">
      <c r="G205" s="6">
        <v>194</v>
      </c>
      <c r="H205" s="6">
        <v>4</v>
      </c>
      <c r="I205" s="6" t="s">
        <v>15</v>
      </c>
      <c r="J205" s="6" t="s">
        <v>7</v>
      </c>
      <c r="K205" s="6">
        <v>3060</v>
      </c>
      <c r="L205" s="6">
        <v>24</v>
      </c>
      <c r="N205" s="6">
        <f t="shared" si="17"/>
        <v>96</v>
      </c>
      <c r="O205" s="6" t="s">
        <v>50</v>
      </c>
      <c r="P205" s="44">
        <v>4</v>
      </c>
      <c r="Q205" s="44" t="s">
        <v>14</v>
      </c>
      <c r="R205" s="44" t="s">
        <v>7</v>
      </c>
      <c r="S205" s="44">
        <v>7680</v>
      </c>
      <c r="T205" s="44">
        <v>40</v>
      </c>
      <c r="U205" s="6">
        <f t="shared" si="14"/>
        <v>160</v>
      </c>
      <c r="V205" s="6">
        <f t="shared" si="16"/>
        <v>20.520959999999999</v>
      </c>
    </row>
    <row r="206" spans="7:22" x14ac:dyDescent="0.25">
      <c r="G206" s="6">
        <v>195</v>
      </c>
      <c r="H206" s="6">
        <v>2</v>
      </c>
      <c r="I206" s="6" t="s">
        <v>15</v>
      </c>
      <c r="J206" s="6" t="s">
        <v>7</v>
      </c>
      <c r="K206" s="6">
        <v>3350</v>
      </c>
      <c r="L206" s="6">
        <v>26</v>
      </c>
      <c r="N206" s="6">
        <f t="shared" si="17"/>
        <v>52</v>
      </c>
      <c r="O206" s="6" t="s">
        <v>49</v>
      </c>
      <c r="P206" s="42">
        <v>4</v>
      </c>
      <c r="Q206" s="42" t="s">
        <v>15</v>
      </c>
      <c r="R206" s="42" t="s">
        <v>7</v>
      </c>
      <c r="S206" s="42">
        <v>1050</v>
      </c>
      <c r="T206" s="42">
        <v>8</v>
      </c>
      <c r="U206" s="6">
        <f t="shared" si="14"/>
        <v>32</v>
      </c>
      <c r="V206" s="6">
        <f t="shared" ref="V206:V214" si="18">(0.15+0.075+0.02+0.075+0.02+0.00304+0.00304+0.06892+0.06892+0.01696+0.01696+0.14392)*(S206/1000)*P206</f>
        <v>2.7793919999999996</v>
      </c>
    </row>
    <row r="207" spans="7:22" x14ac:dyDescent="0.25">
      <c r="G207" s="6">
        <v>196</v>
      </c>
      <c r="H207" s="6">
        <v>8</v>
      </c>
      <c r="I207" s="6" t="s">
        <v>15</v>
      </c>
      <c r="J207" s="6" t="s">
        <v>7</v>
      </c>
      <c r="K207" s="6">
        <v>3360</v>
      </c>
      <c r="L207" s="6">
        <v>26</v>
      </c>
      <c r="N207" s="6">
        <f t="shared" si="17"/>
        <v>208</v>
      </c>
      <c r="O207" s="6" t="s">
        <v>49</v>
      </c>
      <c r="P207" s="42">
        <v>4</v>
      </c>
      <c r="Q207" s="42" t="s">
        <v>15</v>
      </c>
      <c r="R207" s="42" t="s">
        <v>7</v>
      </c>
      <c r="S207" s="42">
        <v>3060</v>
      </c>
      <c r="T207" s="42">
        <v>24</v>
      </c>
      <c r="U207" s="6">
        <f t="shared" si="14"/>
        <v>96</v>
      </c>
      <c r="V207" s="6">
        <f t="shared" si="18"/>
        <v>8.0999423999999998</v>
      </c>
    </row>
    <row r="208" spans="7:22" x14ac:dyDescent="0.25">
      <c r="G208" s="6">
        <v>197</v>
      </c>
      <c r="H208" s="6">
        <v>2</v>
      </c>
      <c r="I208" s="6" t="s">
        <v>15</v>
      </c>
      <c r="J208" s="6" t="s">
        <v>7</v>
      </c>
      <c r="K208" s="6">
        <v>3800</v>
      </c>
      <c r="L208" s="6">
        <v>30</v>
      </c>
      <c r="N208" s="6">
        <f t="shared" si="17"/>
        <v>60</v>
      </c>
      <c r="O208" s="6" t="s">
        <v>49</v>
      </c>
      <c r="P208" s="42">
        <v>2</v>
      </c>
      <c r="Q208" s="42" t="s">
        <v>15</v>
      </c>
      <c r="R208" s="42" t="s">
        <v>7</v>
      </c>
      <c r="S208" s="42">
        <v>3350</v>
      </c>
      <c r="T208" s="42">
        <v>26</v>
      </c>
      <c r="U208" s="6">
        <f t="shared" si="14"/>
        <v>52</v>
      </c>
      <c r="V208" s="6">
        <f t="shared" si="18"/>
        <v>4.4337919999999995</v>
      </c>
    </row>
    <row r="209" spans="7:22" x14ac:dyDescent="0.25">
      <c r="G209" s="6">
        <v>198</v>
      </c>
      <c r="H209" s="6">
        <v>6</v>
      </c>
      <c r="I209" s="6" t="s">
        <v>15</v>
      </c>
      <c r="J209" s="6" t="s">
        <v>7</v>
      </c>
      <c r="K209" s="6">
        <v>3870</v>
      </c>
      <c r="L209" s="6">
        <v>30</v>
      </c>
      <c r="N209" s="6">
        <f t="shared" si="17"/>
        <v>180</v>
      </c>
      <c r="O209" s="6" t="s">
        <v>49</v>
      </c>
      <c r="P209" s="42">
        <v>8</v>
      </c>
      <c r="Q209" s="42" t="s">
        <v>15</v>
      </c>
      <c r="R209" s="42" t="s">
        <v>7</v>
      </c>
      <c r="S209" s="42">
        <v>3360</v>
      </c>
      <c r="T209" s="42">
        <v>26</v>
      </c>
      <c r="U209" s="6">
        <f t="shared" si="14"/>
        <v>208</v>
      </c>
      <c r="V209" s="6">
        <f t="shared" si="18"/>
        <v>17.788108799999996</v>
      </c>
    </row>
    <row r="210" spans="7:22" x14ac:dyDescent="0.25">
      <c r="G210" s="6">
        <v>199</v>
      </c>
      <c r="H210" s="6">
        <v>2</v>
      </c>
      <c r="I210" s="6" t="s">
        <v>15</v>
      </c>
      <c r="J210" s="6" t="s">
        <v>7</v>
      </c>
      <c r="K210" s="6">
        <v>3880</v>
      </c>
      <c r="L210" s="6">
        <v>30</v>
      </c>
      <c r="N210" s="6">
        <f t="shared" si="17"/>
        <v>60</v>
      </c>
      <c r="O210" s="6" t="s">
        <v>49</v>
      </c>
      <c r="P210" s="42">
        <v>2</v>
      </c>
      <c r="Q210" s="42" t="s">
        <v>15</v>
      </c>
      <c r="R210" s="42" t="s">
        <v>7</v>
      </c>
      <c r="S210" s="42">
        <v>3800</v>
      </c>
      <c r="T210" s="42">
        <v>30</v>
      </c>
      <c r="U210" s="6">
        <f t="shared" si="14"/>
        <v>60</v>
      </c>
      <c r="V210" s="6">
        <f t="shared" si="18"/>
        <v>5.0293759999999992</v>
      </c>
    </row>
    <row r="211" spans="7:22" x14ac:dyDescent="0.25">
      <c r="G211" s="6">
        <v>200</v>
      </c>
      <c r="H211" s="6">
        <v>2</v>
      </c>
      <c r="I211" s="6" t="s">
        <v>15</v>
      </c>
      <c r="J211" s="6" t="s">
        <v>7</v>
      </c>
      <c r="K211" s="6">
        <v>4600</v>
      </c>
      <c r="L211" s="6">
        <v>36</v>
      </c>
      <c r="N211" s="6">
        <f t="shared" si="17"/>
        <v>72</v>
      </c>
      <c r="O211" s="6" t="s">
        <v>49</v>
      </c>
      <c r="P211" s="42">
        <v>6</v>
      </c>
      <c r="Q211" s="42" t="s">
        <v>15</v>
      </c>
      <c r="R211" s="42" t="s">
        <v>7</v>
      </c>
      <c r="S211" s="42">
        <v>3870</v>
      </c>
      <c r="T211" s="42">
        <v>30</v>
      </c>
      <c r="U211" s="6">
        <f t="shared" si="14"/>
        <v>180</v>
      </c>
      <c r="V211" s="6">
        <f t="shared" si="18"/>
        <v>15.3660672</v>
      </c>
    </row>
    <row r="212" spans="7:22" x14ac:dyDescent="0.25">
      <c r="G212" s="6">
        <v>201</v>
      </c>
      <c r="H212" s="6">
        <v>2</v>
      </c>
      <c r="I212" s="6" t="s">
        <v>15</v>
      </c>
      <c r="J212" s="6" t="s">
        <v>7</v>
      </c>
      <c r="K212" s="6">
        <v>4610</v>
      </c>
      <c r="L212" s="6">
        <v>36</v>
      </c>
      <c r="N212" s="6">
        <f t="shared" si="17"/>
        <v>72</v>
      </c>
      <c r="O212" s="6" t="s">
        <v>49</v>
      </c>
      <c r="P212" s="42">
        <v>2</v>
      </c>
      <c r="Q212" s="42" t="s">
        <v>15</v>
      </c>
      <c r="R212" s="42" t="s">
        <v>7</v>
      </c>
      <c r="S212" s="42">
        <v>3880</v>
      </c>
      <c r="T212" s="42">
        <v>30</v>
      </c>
      <c r="U212" s="6">
        <f t="shared" si="14"/>
        <v>60</v>
      </c>
      <c r="V212" s="6">
        <f t="shared" si="18"/>
        <v>5.1352575999999992</v>
      </c>
    </row>
    <row r="213" spans="7:22" x14ac:dyDescent="0.25">
      <c r="O213" s="6" t="s">
        <v>49</v>
      </c>
      <c r="P213" s="42">
        <v>2</v>
      </c>
      <c r="Q213" s="42" t="s">
        <v>15</v>
      </c>
      <c r="R213" s="42" t="s">
        <v>7</v>
      </c>
      <c r="S213" s="42">
        <v>4600</v>
      </c>
      <c r="T213" s="42">
        <v>36</v>
      </c>
      <c r="U213" s="6">
        <f t="shared" ref="U213:U214" si="19">P213*T213</f>
        <v>72</v>
      </c>
      <c r="V213" s="6">
        <f t="shared" si="18"/>
        <v>6.0881919999999985</v>
      </c>
    </row>
    <row r="214" spans="7:22" x14ac:dyDescent="0.25">
      <c r="H214" s="6" t="s">
        <v>79</v>
      </c>
      <c r="I214" s="6" t="s">
        <v>80</v>
      </c>
      <c r="J214" s="6">
        <v>1920</v>
      </c>
      <c r="K214" s="6" t="s">
        <v>81</v>
      </c>
      <c r="L214" s="6">
        <v>21972</v>
      </c>
      <c r="N214" s="6">
        <f>SUM(N12:N212)</f>
        <v>21971</v>
      </c>
      <c r="O214" s="6" t="s">
        <v>49</v>
      </c>
      <c r="P214" s="42">
        <v>2</v>
      </c>
      <c r="Q214" s="42" t="s">
        <v>15</v>
      </c>
      <c r="R214" s="42" t="s">
        <v>7</v>
      </c>
      <c r="S214" s="42">
        <v>4610</v>
      </c>
      <c r="T214" s="42">
        <v>36</v>
      </c>
      <c r="U214" s="6">
        <f t="shared" si="19"/>
        <v>72</v>
      </c>
      <c r="V214" s="6">
        <f t="shared" si="18"/>
        <v>6.1014271999999998</v>
      </c>
    </row>
    <row r="216" spans="7:22" x14ac:dyDescent="0.25">
      <c r="H216" s="6" t="s">
        <v>82</v>
      </c>
      <c r="I216" s="6" t="s">
        <v>83</v>
      </c>
      <c r="Q216" s="2"/>
      <c r="R216" s="3"/>
      <c r="S216" s="3"/>
      <c r="T216" s="4"/>
      <c r="U216" s="55">
        <f>SUM(U12:U214)</f>
        <v>21972</v>
      </c>
      <c r="V216" s="55">
        <f>SUM(V12:V214)</f>
        <v>1897.81646168215</v>
      </c>
    </row>
    <row r="218" spans="7:22" x14ac:dyDescent="0.25">
      <c r="Q218" s="2" t="s">
        <v>16</v>
      </c>
      <c r="R218" s="3"/>
      <c r="S218" s="3"/>
      <c r="T218" s="4">
        <f>U216</f>
        <v>21972</v>
      </c>
    </row>
    <row r="220" spans="7:22" x14ac:dyDescent="0.25">
      <c r="S220" s="6" t="s">
        <v>61</v>
      </c>
      <c r="T220" s="6" t="s">
        <v>62</v>
      </c>
    </row>
    <row r="221" spans="7:22" x14ac:dyDescent="0.25">
      <c r="P221" s="6" t="s">
        <v>66</v>
      </c>
      <c r="S221" s="6">
        <f>SUMIF($O$12:$O$214,"CONT",$U$12:$U$214)</f>
        <v>387</v>
      </c>
      <c r="T221" s="6">
        <f>SUMIF($O$12:$O$214,"CONT",$V$12:$V$214)</f>
        <v>20.063781482151217</v>
      </c>
    </row>
    <row r="222" spans="7:22" x14ac:dyDescent="0.25">
      <c r="P222" s="6" t="s">
        <v>67</v>
      </c>
      <c r="S222" s="6">
        <f>SUMIF($O$12:$O$214,"CONTC",$U$12:$U$214)</f>
        <v>372</v>
      </c>
      <c r="T222" s="6">
        <f>SUMIF($O$12:$O$214,"CONTC",$V$12:$V$214)</f>
        <v>33.126719999999999</v>
      </c>
    </row>
    <row r="223" spans="7:22" x14ac:dyDescent="0.25">
      <c r="P223" s="6" t="s">
        <v>56</v>
      </c>
      <c r="S223" s="6">
        <f>SUMIF($O$12:$O$214,"TRELICA",$U$12:$U$214)</f>
        <v>13789</v>
      </c>
      <c r="T223" s="6">
        <f>SUMIF($O$12:$O$214,"TRELICA",$V$12:$V$214)</f>
        <v>1192.1038265999998</v>
      </c>
    </row>
    <row r="224" spans="7:22" x14ac:dyDescent="0.25">
      <c r="P224" s="6" t="s">
        <v>49</v>
      </c>
      <c r="S224" s="6">
        <f>SUMIF($O$12:$O$214,"PILAR",$U$12:$U$214)</f>
        <v>848</v>
      </c>
      <c r="T224" s="6">
        <f>SUMIF($O$12:$O$214,"PILAR",$V$12:$V$214)</f>
        <v>72.959155199999998</v>
      </c>
    </row>
    <row r="225" spans="16:23" x14ac:dyDescent="0.25">
      <c r="P225" s="6" t="s">
        <v>50</v>
      </c>
      <c r="S225" s="6">
        <f>SUMIF($O$12:$O$214,"VIGA",$U$12:$U$214)</f>
        <v>484</v>
      </c>
      <c r="T225" s="6">
        <f>SUMIF($O$12:$O$214,"VIGA",$V$12:$V$214)</f>
        <v>61.469360000000009</v>
      </c>
    </row>
    <row r="226" spans="16:23" x14ac:dyDescent="0.25">
      <c r="P226" s="6" t="s">
        <v>51</v>
      </c>
      <c r="S226" s="6">
        <f>SUMIF($O$12:$O$214,"TRAMA",$U$12:$U$214)</f>
        <v>6092</v>
      </c>
      <c r="T226" s="6">
        <f>SUMIF($O$12:$O$214,"TRAMA",$V$12:$V$214)</f>
        <v>518.09361839999997</v>
      </c>
    </row>
    <row r="228" spans="16:23" ht="15.75" thickBot="1" x14ac:dyDescent="0.3"/>
    <row r="229" spans="16:23" ht="15.75" thickBot="1" x14ac:dyDescent="0.3">
      <c r="Q229" s="11" t="s">
        <v>18</v>
      </c>
      <c r="R229" s="12"/>
      <c r="S229" s="12"/>
      <c r="T229" s="13"/>
    </row>
    <row r="230" spans="16:23" x14ac:dyDescent="0.25">
      <c r="Q230" s="10" t="s">
        <v>20</v>
      </c>
      <c r="R230" s="10" t="s">
        <v>21</v>
      </c>
      <c r="S230" s="10" t="s">
        <v>1</v>
      </c>
      <c r="T230" s="10" t="s">
        <v>22</v>
      </c>
    </row>
    <row r="231" spans="16:23" x14ac:dyDescent="0.25">
      <c r="Q231" s="8" t="s">
        <v>24</v>
      </c>
      <c r="R231" s="8">
        <v>12040</v>
      </c>
      <c r="S231" s="8">
        <v>1</v>
      </c>
      <c r="T231" s="9">
        <f t="shared" ref="T231:T237" si="20">(U231+V231+V231)*W231*R231*7850*S231/1000000000</f>
        <v>53.872979999999998</v>
      </c>
      <c r="U231" s="6">
        <v>300</v>
      </c>
      <c r="V231" s="6">
        <v>150</v>
      </c>
      <c r="W231" s="6">
        <v>0.95</v>
      </c>
    </row>
    <row r="232" spans="16:23" x14ac:dyDescent="0.25">
      <c r="Q232" s="8" t="s">
        <v>23</v>
      </c>
      <c r="R232" s="8">
        <v>6900</v>
      </c>
      <c r="S232" s="8">
        <v>1</v>
      </c>
      <c r="T232" s="9">
        <f t="shared" si="20"/>
        <v>43.738237499999997</v>
      </c>
      <c r="U232" s="6">
        <v>450</v>
      </c>
      <c r="V232" s="6">
        <v>200</v>
      </c>
      <c r="W232" s="6">
        <v>0.95</v>
      </c>
    </row>
    <row r="233" spans="16:23" x14ac:dyDescent="0.25">
      <c r="Q233" s="8" t="s">
        <v>23</v>
      </c>
      <c r="R233" s="8">
        <v>13640</v>
      </c>
      <c r="S233" s="8">
        <v>1</v>
      </c>
      <c r="T233" s="9">
        <f t="shared" si="20"/>
        <v>86.462254999999999</v>
      </c>
      <c r="U233" s="6">
        <v>450</v>
      </c>
      <c r="V233" s="6">
        <v>200</v>
      </c>
      <c r="W233" s="6">
        <v>0.95</v>
      </c>
    </row>
    <row r="234" spans="16:23" x14ac:dyDescent="0.25">
      <c r="Q234" s="8" t="s">
        <v>23</v>
      </c>
      <c r="R234" s="8">
        <v>20820</v>
      </c>
      <c r="S234" s="8">
        <v>1</v>
      </c>
      <c r="T234" s="9">
        <f t="shared" si="20"/>
        <v>131.97537750000001</v>
      </c>
      <c r="U234" s="6">
        <v>450</v>
      </c>
      <c r="V234" s="6">
        <v>200</v>
      </c>
      <c r="W234" s="6">
        <v>0.95</v>
      </c>
    </row>
    <row r="235" spans="16:23" x14ac:dyDescent="0.25">
      <c r="Q235" s="8" t="s">
        <v>23</v>
      </c>
      <c r="R235" s="8">
        <v>21970</v>
      </c>
      <c r="S235" s="8">
        <v>1</v>
      </c>
      <c r="T235" s="9">
        <f t="shared" si="20"/>
        <v>139.26508375</v>
      </c>
      <c r="U235" s="6">
        <v>450</v>
      </c>
      <c r="V235" s="6">
        <v>200</v>
      </c>
      <c r="W235" s="6">
        <v>0.95</v>
      </c>
    </row>
    <row r="236" spans="16:23" x14ac:dyDescent="0.25">
      <c r="Q236" s="8" t="s">
        <v>23</v>
      </c>
      <c r="R236" s="8">
        <v>33870</v>
      </c>
      <c r="S236" s="8">
        <v>1</v>
      </c>
      <c r="T236" s="9">
        <f t="shared" si="20"/>
        <v>214.69769625000001</v>
      </c>
      <c r="U236" s="6">
        <v>450</v>
      </c>
      <c r="V236" s="6">
        <v>200</v>
      </c>
      <c r="W236" s="6">
        <v>0.95</v>
      </c>
    </row>
    <row r="237" spans="16:23" x14ac:dyDescent="0.25">
      <c r="Q237" s="8" t="s">
        <v>23</v>
      </c>
      <c r="R237" s="8">
        <v>56800</v>
      </c>
      <c r="S237" s="8">
        <v>2</v>
      </c>
      <c r="T237" s="9">
        <f t="shared" si="20"/>
        <v>720.09619999999995</v>
      </c>
      <c r="U237" s="6">
        <v>450</v>
      </c>
      <c r="V237" s="6">
        <v>200</v>
      </c>
      <c r="W237" s="6">
        <v>0.95</v>
      </c>
    </row>
    <row r="238" spans="16:23" x14ac:dyDescent="0.25">
      <c r="S238" s="6" t="s">
        <v>25</v>
      </c>
      <c r="T238" s="7">
        <f>SUM(T231:T237)</f>
        <v>1390.1078299999999</v>
      </c>
    </row>
  </sheetData>
  <mergeCells count="3">
    <mergeCell ref="P8:T8"/>
    <mergeCell ref="X8:AB8"/>
    <mergeCell ref="AF8:AJ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7FEE-D3AC-4175-B52D-CDAD9FD70D18}">
  <dimension ref="B2:O32"/>
  <sheetViews>
    <sheetView showGridLines="0" view="pageBreakPreview" zoomScale="160" zoomScaleNormal="100" zoomScaleSheetLayoutView="160" workbookViewId="0">
      <selection activeCell="K19" sqref="K19"/>
    </sheetView>
  </sheetViews>
  <sheetFormatPr defaultColWidth="9.140625" defaultRowHeight="15" x14ac:dyDescent="0.25"/>
  <cols>
    <col min="1" max="2" width="9.140625" style="6"/>
    <col min="3" max="3" width="5.140625" style="6" bestFit="1" customWidth="1"/>
    <col min="4" max="4" width="17.42578125" style="6" bestFit="1" customWidth="1"/>
    <col min="5" max="5" width="6.28515625" style="6" customWidth="1"/>
    <col min="6" max="6" width="13.7109375" style="6" bestFit="1" customWidth="1"/>
    <col min="7" max="7" width="9.140625" style="6"/>
    <col min="8" max="8" width="8.140625" style="6" customWidth="1"/>
    <col min="9" max="10" width="9.140625" style="6"/>
    <col min="11" max="11" width="23.28515625" style="6" bestFit="1" customWidth="1"/>
    <col min="12" max="12" width="13.140625" style="6" bestFit="1" customWidth="1"/>
    <col min="13" max="13" width="10.5703125" style="6" bestFit="1" customWidth="1"/>
    <col min="14" max="14" width="5.5703125" style="6" bestFit="1" customWidth="1"/>
    <col min="15" max="16384" width="9.140625" style="6"/>
  </cols>
  <sheetData>
    <row r="2" spans="2:15" ht="30" x14ac:dyDescent="0.25">
      <c r="C2" s="48"/>
      <c r="D2" s="59" t="s">
        <v>70</v>
      </c>
      <c r="E2" s="50"/>
      <c r="F2" s="6" t="s">
        <v>56</v>
      </c>
      <c r="G2" s="43"/>
      <c r="H2" s="6" t="s">
        <v>49</v>
      </c>
    </row>
    <row r="3" spans="2:15" ht="30" x14ac:dyDescent="0.25">
      <c r="C3" s="47"/>
      <c r="D3" s="59" t="s">
        <v>71</v>
      </c>
      <c r="E3" s="46"/>
      <c r="F3" s="6" t="s">
        <v>51</v>
      </c>
      <c r="G3" s="45"/>
      <c r="H3" s="6" t="s">
        <v>50</v>
      </c>
    </row>
    <row r="5" spans="2:15" x14ac:dyDescent="0.25">
      <c r="C5" s="192" t="s">
        <v>0</v>
      </c>
      <c r="D5" s="192"/>
      <c r="E5" s="192"/>
      <c r="F5" s="192"/>
      <c r="G5" s="192"/>
    </row>
    <row r="7" spans="2:15" ht="60" x14ac:dyDescent="0.25">
      <c r="C7" s="5" t="s">
        <v>1</v>
      </c>
      <c r="D7" s="5" t="s">
        <v>2</v>
      </c>
      <c r="E7" s="5" t="s">
        <v>3</v>
      </c>
      <c r="F7" s="67" t="s">
        <v>86</v>
      </c>
      <c r="G7" s="52" t="s">
        <v>57</v>
      </c>
      <c r="H7" s="52" t="s">
        <v>58</v>
      </c>
    </row>
    <row r="9" spans="2:15" x14ac:dyDescent="0.25">
      <c r="B9" s="6" t="s">
        <v>96</v>
      </c>
      <c r="C9" s="40">
        <v>231</v>
      </c>
      <c r="D9" s="40" t="s">
        <v>84</v>
      </c>
      <c r="E9" s="40" t="s">
        <v>7</v>
      </c>
      <c r="F9" s="40">
        <v>1301.424</v>
      </c>
      <c r="G9" s="6">
        <v>2054.08</v>
      </c>
      <c r="H9" s="47">
        <f>2*PI()*(0.008)*C9*(F9/1000)</f>
        <v>15.111258910829717</v>
      </c>
      <c r="J9" s="6">
        <v>1.5783326571509362</v>
      </c>
    </row>
    <row r="10" spans="2:15" x14ac:dyDescent="0.25">
      <c r="B10" s="6" t="s">
        <v>95</v>
      </c>
      <c r="C10" s="40">
        <v>6</v>
      </c>
      <c r="D10" s="40" t="s">
        <v>85</v>
      </c>
      <c r="E10" s="40" t="s">
        <v>7</v>
      </c>
      <c r="F10" s="40">
        <v>180.00800000000001</v>
      </c>
      <c r="G10" s="6">
        <v>443.93</v>
      </c>
      <c r="H10" s="47">
        <f>2*PI()*(0.01)*C10*(F10/1000)</f>
        <v>6.7861417246486991E-2</v>
      </c>
      <c r="J10" s="6">
        <v>2.4661681703035421</v>
      </c>
    </row>
    <row r="11" spans="2:15" x14ac:dyDescent="0.25">
      <c r="B11" s="6" t="s">
        <v>87</v>
      </c>
      <c r="C11" s="53">
        <f>4406-462</f>
        <v>3944</v>
      </c>
      <c r="D11" s="53" t="s">
        <v>135</v>
      </c>
      <c r="E11" s="53" t="s">
        <v>7</v>
      </c>
      <c r="F11" s="53">
        <f>2726.234-F12</f>
        <v>2254.5540000000001</v>
      </c>
      <c r="G11" s="6">
        <f>F11*O12</f>
        <v>11723.6808</v>
      </c>
      <c r="H11" s="47">
        <f>(0.04+0.075+0.04+0.00475+0.03525+0.0655+0.03525+0.00475)*(F11)</f>
        <v>677.49347699999998</v>
      </c>
      <c r="J11" s="6">
        <v>7.9287618010779708</v>
      </c>
      <c r="K11" s="6" t="s">
        <v>131</v>
      </c>
    </row>
    <row r="12" spans="2:15" x14ac:dyDescent="0.25">
      <c r="B12" s="6" t="s">
        <v>88</v>
      </c>
      <c r="C12" s="53">
        <v>462</v>
      </c>
      <c r="D12" s="53" t="s">
        <v>135</v>
      </c>
      <c r="E12" s="53" t="s">
        <v>7</v>
      </c>
      <c r="F12" s="53">
        <v>471.68</v>
      </c>
      <c r="G12" s="6">
        <f>F12*O12</f>
        <v>2452.7360000000003</v>
      </c>
      <c r="H12" s="47">
        <f>(0.04+0.075+0.04+0.00475+0.03525+0.0655+0.03525+0.00475)*(F12)</f>
        <v>141.73983999999999</v>
      </c>
      <c r="J12" s="6">
        <v>7.9287618010779699</v>
      </c>
      <c r="K12" s="6" t="s">
        <v>131</v>
      </c>
      <c r="L12" s="6" t="s">
        <v>133</v>
      </c>
      <c r="O12" s="6">
        <v>5.2</v>
      </c>
    </row>
    <row r="13" spans="2:15" x14ac:dyDescent="0.25">
      <c r="B13" s="6" t="s">
        <v>51</v>
      </c>
      <c r="C13" s="41">
        <v>24</v>
      </c>
      <c r="D13" s="41" t="s">
        <v>136</v>
      </c>
      <c r="E13" s="41" t="s">
        <v>7</v>
      </c>
      <c r="F13" s="41">
        <f>1325.28*2</f>
        <v>2650.56</v>
      </c>
      <c r="G13" s="6">
        <f>F13*3.4</f>
        <v>9011.9040000000005</v>
      </c>
      <c r="H13" s="47">
        <f>(0.04+0.075+0.04+0.003+0.037+0.069+0.037+0.003)*(F13)</f>
        <v>805.77023999999994</v>
      </c>
      <c r="J13" s="6">
        <v>7.0671933478208384</v>
      </c>
      <c r="K13" s="6" t="s">
        <v>132</v>
      </c>
      <c r="O13" s="6">
        <v>3.4</v>
      </c>
    </row>
    <row r="14" spans="2:15" x14ac:dyDescent="0.25">
      <c r="B14" s="6" t="s">
        <v>49</v>
      </c>
      <c r="C14" s="42">
        <v>792</v>
      </c>
      <c r="D14" s="42" t="s">
        <v>134</v>
      </c>
      <c r="E14" s="42" t="s">
        <v>7</v>
      </c>
      <c r="F14" s="42">
        <v>899.97500000000002</v>
      </c>
      <c r="G14" s="6">
        <f>F14*O14</f>
        <v>8009.7775000000001</v>
      </c>
      <c r="H14" s="47">
        <f>(0.05+0.1+0.05+0.00603+0.04397+0.08794+0.04397+0.00603)*F14</f>
        <v>349.1363015</v>
      </c>
      <c r="J14" s="6">
        <v>9.8125059029417478</v>
      </c>
      <c r="K14" s="6" t="s">
        <v>130</v>
      </c>
      <c r="O14" s="6">
        <v>8.9</v>
      </c>
    </row>
    <row r="16" spans="2:15" x14ac:dyDescent="0.25">
      <c r="D16" s="2"/>
      <c r="E16" s="3"/>
      <c r="F16" s="3"/>
      <c r="G16" s="6">
        <f>SUM(G9:G14)</f>
        <v>33696.108300000007</v>
      </c>
      <c r="H16" s="6">
        <f>SUM(H9:H14)</f>
        <v>1989.3189788280761</v>
      </c>
    </row>
    <row r="18" spans="3:10" x14ac:dyDescent="0.25">
      <c r="D18" s="2" t="s">
        <v>16</v>
      </c>
      <c r="E18" s="3"/>
      <c r="F18" s="3"/>
      <c r="G18" s="4">
        <f>G16</f>
        <v>33696.108300000007</v>
      </c>
    </row>
    <row r="20" spans="3:10" x14ac:dyDescent="0.25">
      <c r="F20" s="6" t="s">
        <v>61</v>
      </c>
      <c r="G20" s="6" t="s">
        <v>62</v>
      </c>
    </row>
    <row r="21" spans="3:10" x14ac:dyDescent="0.25">
      <c r="C21" s="6" t="s">
        <v>93</v>
      </c>
      <c r="F21" s="6">
        <f>SUMIF($B$9:$B$14,"CONT16",$G$9:$G$14)</f>
        <v>2054.08</v>
      </c>
      <c r="G21" s="6">
        <f>SUMIF($B$9:$B$14,"CONT16",$H$9:$H$14)</f>
        <v>15.111258910829717</v>
      </c>
    </row>
    <row r="22" spans="3:10" x14ac:dyDescent="0.25">
      <c r="C22" s="6" t="s">
        <v>94</v>
      </c>
      <c r="F22" s="6">
        <f>SUMIF($B$9:$B$14,"CONT20",$G$9:$G$14)</f>
        <v>443.93</v>
      </c>
      <c r="G22" s="6">
        <f>SUMIF($B$9:$B$14,"CONT20",$H$9:$H$14)</f>
        <v>6.7861417246486991E-2</v>
      </c>
    </row>
    <row r="23" spans="3:10" x14ac:dyDescent="0.25">
      <c r="C23" s="6" t="s">
        <v>89</v>
      </c>
      <c r="F23" s="6">
        <f>SUMIF($B$9:$B$14,"TRELICAFINK",$G$9:$G$14)</f>
        <v>2452.7360000000003</v>
      </c>
      <c r="G23" s="6">
        <f>SUMIF($B$9:$B$14,"TRELICAFINK",$H$9:$H$14)</f>
        <v>141.73983999999999</v>
      </c>
    </row>
    <row r="24" spans="3:10" x14ac:dyDescent="0.25">
      <c r="C24" s="6" t="s">
        <v>90</v>
      </c>
      <c r="F24" s="6">
        <f>SUMIF($B$9:$B$14,"TRELICAARCO",$G$9:$G$14)</f>
        <v>11723.6808</v>
      </c>
      <c r="G24" s="6">
        <f>SUMIF($B$9:$B$14,"TRELICAARCO",$H$9:$H$14)</f>
        <v>677.49347699999998</v>
      </c>
    </row>
    <row r="25" spans="3:10" x14ac:dyDescent="0.25">
      <c r="C25" s="6" t="s">
        <v>49</v>
      </c>
      <c r="F25" s="6">
        <f>SUMIF($B$9:$B$14,"PILAR",$G$9:$G$14)</f>
        <v>8009.7775000000001</v>
      </c>
      <c r="G25" s="6">
        <f>SUMIF($B$9:$B$14,"PILAR",$H$9:$H$14)</f>
        <v>349.1363015</v>
      </c>
    </row>
    <row r="26" spans="3:10" x14ac:dyDescent="0.25">
      <c r="C26" s="6" t="s">
        <v>50</v>
      </c>
    </row>
    <row r="27" spans="3:10" x14ac:dyDescent="0.25">
      <c r="C27" s="6" t="s">
        <v>51</v>
      </c>
      <c r="F27" s="6">
        <f>SUMIF($B$9:$B$14,"TRAMA",$G$9:$G$14)</f>
        <v>9011.9040000000005</v>
      </c>
      <c r="G27" s="6">
        <f>SUMIF($B$9:$B$14,"TRAMA",$H$9:$H$14)</f>
        <v>805.77023999999994</v>
      </c>
    </row>
    <row r="28" spans="3:10" ht="15.75" thickBot="1" x14ac:dyDescent="0.3"/>
    <row r="29" spans="3:10" ht="15.75" thickBot="1" x14ac:dyDescent="0.3">
      <c r="D29" s="11" t="s">
        <v>18</v>
      </c>
      <c r="E29" s="12"/>
      <c r="F29" s="12"/>
      <c r="G29" s="13"/>
    </row>
    <row r="30" spans="3:10" x14ac:dyDescent="0.25">
      <c r="D30" s="10" t="s">
        <v>20</v>
      </c>
      <c r="E30" s="10" t="s">
        <v>21</v>
      </c>
      <c r="F30" s="10" t="s">
        <v>1</v>
      </c>
      <c r="G30" s="10" t="s">
        <v>22</v>
      </c>
    </row>
    <row r="31" spans="3:10" x14ac:dyDescent="0.25">
      <c r="D31" s="8" t="s">
        <v>28</v>
      </c>
      <c r="E31" s="8">
        <v>11640</v>
      </c>
      <c r="F31" s="8">
        <v>2</v>
      </c>
      <c r="G31" s="9">
        <f>(H31+I31+I31)*J31*E31*7850*F31/1000000000</f>
        <v>130.20795000000001</v>
      </c>
      <c r="H31" s="6">
        <v>450</v>
      </c>
      <c r="I31" s="6">
        <v>150</v>
      </c>
      <c r="J31" s="6">
        <v>0.95</v>
      </c>
    </row>
    <row r="32" spans="3:10" x14ac:dyDescent="0.25">
      <c r="F32" s="6" t="s">
        <v>25</v>
      </c>
      <c r="G32" s="7">
        <f>SUM(G31:G31)</f>
        <v>130.20795000000001</v>
      </c>
    </row>
  </sheetData>
  <mergeCells count="1">
    <mergeCell ref="C5:G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1FCD5-A942-4691-B490-39D33E5349EA}">
  <dimension ref="A2:K97"/>
  <sheetViews>
    <sheetView showGridLines="0" view="pageBreakPreview" topLeftCell="A52" zoomScaleNormal="100" zoomScaleSheetLayoutView="100" workbookViewId="0">
      <selection activeCell="C85" sqref="C85"/>
    </sheetView>
  </sheetViews>
  <sheetFormatPr defaultRowHeight="15" x14ac:dyDescent="0.25"/>
  <cols>
    <col min="2" max="2" width="4.7109375" bestFit="1" customWidth="1"/>
    <col min="3" max="3" width="18.85546875" customWidth="1"/>
    <col min="4" max="4" width="7.140625" customWidth="1"/>
    <col min="5" max="5" width="13.7109375" bestFit="1" customWidth="1"/>
    <col min="7" max="7" width="9.85546875" customWidth="1"/>
    <col min="8" max="8" width="11.42578125" customWidth="1"/>
    <col min="9" max="9" width="5" bestFit="1" customWidth="1"/>
    <col min="10" max="10" width="10.5703125" bestFit="1" customWidth="1"/>
    <col min="11" max="11" width="14.7109375" bestFit="1" customWidth="1"/>
    <col min="13" max="14" width="4" bestFit="1" customWidth="1"/>
    <col min="15" max="15" width="5" bestFit="1" customWidth="1"/>
  </cols>
  <sheetData>
    <row r="2" spans="1:11" x14ac:dyDescent="0.25">
      <c r="I2" s="6"/>
    </row>
    <row r="3" spans="1:11" ht="30" x14ac:dyDescent="0.25">
      <c r="B3" s="48"/>
      <c r="C3" s="59" t="s">
        <v>70</v>
      </c>
      <c r="D3" s="50"/>
      <c r="E3" s="6" t="s">
        <v>56</v>
      </c>
      <c r="F3" s="43"/>
      <c r="G3" s="6" t="s">
        <v>49</v>
      </c>
    </row>
    <row r="4" spans="1:11" ht="16.149999999999999" customHeight="1" x14ac:dyDescent="0.25">
      <c r="B4" s="47"/>
      <c r="C4" s="59" t="s">
        <v>71</v>
      </c>
      <c r="D4" s="46"/>
      <c r="E4" s="6" t="s">
        <v>51</v>
      </c>
      <c r="F4" s="45"/>
      <c r="G4" s="6" t="s">
        <v>50</v>
      </c>
      <c r="I4" s="54"/>
      <c r="J4" s="54"/>
      <c r="K4" s="58"/>
    </row>
    <row r="5" spans="1:11" x14ac:dyDescent="0.25">
      <c r="I5" s="55"/>
      <c r="J5" s="55"/>
      <c r="K5" s="55"/>
    </row>
    <row r="6" spans="1:11" x14ac:dyDescent="0.25">
      <c r="B6" s="192" t="s">
        <v>0</v>
      </c>
      <c r="C6" s="192"/>
      <c r="D6" s="192"/>
      <c r="E6" s="192"/>
      <c r="F6" s="193"/>
      <c r="I6" s="55"/>
      <c r="J6" s="55"/>
      <c r="K6" s="55"/>
    </row>
    <row r="7" spans="1:11" x14ac:dyDescent="0.25">
      <c r="B7" s="1"/>
      <c r="C7" s="1"/>
      <c r="D7" s="1"/>
      <c r="E7" s="1"/>
      <c r="F7" s="1"/>
    </row>
    <row r="8" spans="1:11" ht="49.9" customHeight="1" x14ac:dyDescent="0.25">
      <c r="B8" s="51" t="s">
        <v>1</v>
      </c>
      <c r="C8" s="51" t="s">
        <v>2</v>
      </c>
      <c r="D8" s="51" t="s">
        <v>3</v>
      </c>
      <c r="E8" s="51" t="s">
        <v>4</v>
      </c>
      <c r="F8" s="51" t="s">
        <v>5</v>
      </c>
      <c r="G8" s="52" t="s">
        <v>57</v>
      </c>
      <c r="H8" s="56" t="s">
        <v>58</v>
      </c>
      <c r="I8" s="57"/>
      <c r="J8" s="57"/>
      <c r="K8" s="57"/>
    </row>
    <row r="10" spans="1:11" x14ac:dyDescent="0.25">
      <c r="A10" t="s">
        <v>59</v>
      </c>
      <c r="B10" s="40">
        <v>2</v>
      </c>
      <c r="C10" s="40" t="s">
        <v>6</v>
      </c>
      <c r="D10" s="40" t="s">
        <v>7</v>
      </c>
      <c r="E10" s="40">
        <v>2340</v>
      </c>
      <c r="F10" s="40">
        <v>2</v>
      </c>
      <c r="G10">
        <f>F10*B10</f>
        <v>4</v>
      </c>
      <c r="H10">
        <f>2*PI()*(0.00625)*B10*(E10/1000)</f>
        <v>0.18378317023500287</v>
      </c>
      <c r="I10" s="48"/>
      <c r="J10" t="s">
        <v>69</v>
      </c>
    </row>
    <row r="11" spans="1:11" x14ac:dyDescent="0.25">
      <c r="A11" s="6" t="s">
        <v>59</v>
      </c>
      <c r="B11" s="40">
        <v>4</v>
      </c>
      <c r="C11" s="40" t="s">
        <v>6</v>
      </c>
      <c r="D11" s="40" t="s">
        <v>7</v>
      </c>
      <c r="E11" s="40">
        <v>2480</v>
      </c>
      <c r="F11" s="40">
        <v>2</v>
      </c>
      <c r="G11" s="1">
        <f t="shared" ref="G11:G64" si="0">F11*B11</f>
        <v>8</v>
      </c>
      <c r="H11" s="6">
        <f t="shared" ref="H11:H18" si="1">2*PI()*(0.00625)*B11*(E11/1000)</f>
        <v>0.38955748904513432</v>
      </c>
    </row>
    <row r="12" spans="1:11" x14ac:dyDescent="0.25">
      <c r="A12" s="6" t="s">
        <v>59</v>
      </c>
      <c r="B12" s="40">
        <v>2</v>
      </c>
      <c r="C12" s="40" t="s">
        <v>6</v>
      </c>
      <c r="D12" s="40" t="s">
        <v>7</v>
      </c>
      <c r="E12" s="40">
        <v>2510</v>
      </c>
      <c r="F12" s="40">
        <v>2</v>
      </c>
      <c r="G12" s="1">
        <f t="shared" si="0"/>
        <v>4</v>
      </c>
      <c r="H12" s="6">
        <f t="shared" si="1"/>
        <v>0.1971349390127595</v>
      </c>
    </row>
    <row r="13" spans="1:11" x14ac:dyDescent="0.25">
      <c r="A13" s="6" t="s">
        <v>59</v>
      </c>
      <c r="B13" s="40">
        <v>4</v>
      </c>
      <c r="C13" s="40" t="s">
        <v>6</v>
      </c>
      <c r="D13" s="40" t="s">
        <v>7</v>
      </c>
      <c r="E13" s="40">
        <v>2560</v>
      </c>
      <c r="F13" s="40">
        <v>2</v>
      </c>
      <c r="G13" s="1">
        <f t="shared" si="0"/>
        <v>8</v>
      </c>
      <c r="H13" s="6">
        <f t="shared" si="1"/>
        <v>0.40212385965949354</v>
      </c>
    </row>
    <row r="14" spans="1:11" x14ac:dyDescent="0.25">
      <c r="A14" s="6" t="s">
        <v>59</v>
      </c>
      <c r="B14" s="40">
        <v>2</v>
      </c>
      <c r="C14" s="40" t="s">
        <v>6</v>
      </c>
      <c r="D14" s="40" t="s">
        <v>7</v>
      </c>
      <c r="E14" s="40">
        <v>2600</v>
      </c>
      <c r="F14" s="40">
        <v>2</v>
      </c>
      <c r="G14" s="1">
        <f t="shared" si="0"/>
        <v>4</v>
      </c>
      <c r="H14" s="6">
        <f t="shared" si="1"/>
        <v>0.20420352248333656</v>
      </c>
    </row>
    <row r="15" spans="1:11" x14ac:dyDescent="0.25">
      <c r="A15" s="6" t="s">
        <v>59</v>
      </c>
      <c r="B15" s="40">
        <v>4</v>
      </c>
      <c r="C15" s="40" t="s">
        <v>6</v>
      </c>
      <c r="D15" s="40" t="s">
        <v>7</v>
      </c>
      <c r="E15" s="40">
        <v>2820</v>
      </c>
      <c r="F15" s="40">
        <v>2</v>
      </c>
      <c r="G15" s="1">
        <f t="shared" si="0"/>
        <v>8</v>
      </c>
      <c r="H15" s="6">
        <f t="shared" si="1"/>
        <v>0.44296456415616081</v>
      </c>
    </row>
    <row r="16" spans="1:11" x14ac:dyDescent="0.25">
      <c r="A16" s="6" t="s">
        <v>59</v>
      </c>
      <c r="B16" s="40">
        <v>4</v>
      </c>
      <c r="C16" s="40" t="s">
        <v>6</v>
      </c>
      <c r="D16" s="40" t="s">
        <v>7</v>
      </c>
      <c r="E16" s="40">
        <v>4490</v>
      </c>
      <c r="F16" s="40">
        <v>4</v>
      </c>
      <c r="G16" s="1">
        <f t="shared" si="0"/>
        <v>16</v>
      </c>
      <c r="H16" s="6">
        <f t="shared" si="1"/>
        <v>0.70528755073090854</v>
      </c>
    </row>
    <row r="17" spans="1:10" x14ac:dyDescent="0.25">
      <c r="A17" s="6" t="s">
        <v>59</v>
      </c>
      <c r="B17" s="40">
        <v>1</v>
      </c>
      <c r="C17" s="40" t="s">
        <v>6</v>
      </c>
      <c r="D17" s="40" t="s">
        <v>7</v>
      </c>
      <c r="E17" s="40">
        <v>4590</v>
      </c>
      <c r="F17" s="40">
        <v>4</v>
      </c>
      <c r="G17" s="1">
        <f t="shared" si="0"/>
        <v>4</v>
      </c>
      <c r="H17" s="6">
        <f t="shared" si="1"/>
        <v>0.18024887849971438</v>
      </c>
    </row>
    <row r="18" spans="1:10" x14ac:dyDescent="0.25">
      <c r="A18" s="6" t="s">
        <v>59</v>
      </c>
      <c r="B18" s="40">
        <v>1</v>
      </c>
      <c r="C18" s="40" t="s">
        <v>6</v>
      </c>
      <c r="D18" s="40" t="s">
        <v>7</v>
      </c>
      <c r="E18" s="40">
        <v>4600</v>
      </c>
      <c r="F18" s="40">
        <v>4</v>
      </c>
      <c r="G18" s="1">
        <f t="shared" si="0"/>
        <v>4</v>
      </c>
      <c r="H18" s="6">
        <f t="shared" si="1"/>
        <v>0.18064157758141308</v>
      </c>
    </row>
    <row r="19" spans="1:10" x14ac:dyDescent="0.25">
      <c r="A19" t="s">
        <v>68</v>
      </c>
      <c r="B19" s="39">
        <v>13</v>
      </c>
      <c r="C19" s="39" t="s">
        <v>8</v>
      </c>
      <c r="D19" s="39" t="s">
        <v>7</v>
      </c>
      <c r="E19" s="39">
        <v>850</v>
      </c>
      <c r="F19" s="39">
        <v>2</v>
      </c>
      <c r="G19" s="1">
        <f t="shared" si="0"/>
        <v>26</v>
      </c>
      <c r="H19" s="6">
        <f>(0.044+0.044+0.003+0.003+0.041+0.041)*(E19/1000)*B19</f>
        <v>1.9448000000000001</v>
      </c>
      <c r="I19" s="47"/>
      <c r="J19" t="s">
        <v>67</v>
      </c>
    </row>
    <row r="20" spans="1:10" x14ac:dyDescent="0.25">
      <c r="A20" s="6" t="s">
        <v>68</v>
      </c>
      <c r="B20" s="39">
        <v>16</v>
      </c>
      <c r="C20" s="39" t="s">
        <v>8</v>
      </c>
      <c r="D20" s="39" t="s">
        <v>7</v>
      </c>
      <c r="E20" s="39">
        <v>1010</v>
      </c>
      <c r="F20" s="39">
        <v>2</v>
      </c>
      <c r="G20" s="1">
        <f t="shared" si="0"/>
        <v>32</v>
      </c>
      <c r="H20" s="6">
        <f t="shared" ref="H20:H21" si="2">(0.044+0.044+0.003+0.003+0.041+0.041)*(E20/1000)*B20</f>
        <v>2.8441600000000005</v>
      </c>
    </row>
    <row r="21" spans="1:10" x14ac:dyDescent="0.25">
      <c r="A21" s="6" t="s">
        <v>68</v>
      </c>
      <c r="B21" s="39">
        <v>16</v>
      </c>
      <c r="C21" s="39" t="s">
        <v>8</v>
      </c>
      <c r="D21" s="39" t="s">
        <v>7</v>
      </c>
      <c r="E21" s="39">
        <v>1170</v>
      </c>
      <c r="F21" s="39">
        <v>2</v>
      </c>
      <c r="G21" s="1">
        <f t="shared" si="0"/>
        <v>32</v>
      </c>
      <c r="H21" s="6">
        <f t="shared" si="2"/>
        <v>3.2947200000000003</v>
      </c>
    </row>
    <row r="22" spans="1:10" x14ac:dyDescent="0.25">
      <c r="A22" t="s">
        <v>60</v>
      </c>
      <c r="B22" s="49">
        <v>9</v>
      </c>
      <c r="C22" s="49" t="s">
        <v>9</v>
      </c>
      <c r="D22" s="49" t="s">
        <v>7</v>
      </c>
      <c r="E22" s="49">
        <v>600</v>
      </c>
      <c r="F22" s="49">
        <v>2</v>
      </c>
      <c r="G22" s="1">
        <f t="shared" si="0"/>
        <v>18</v>
      </c>
      <c r="H22" s="6">
        <f>(0.137+0.05+0.05+0.002+0.002+0.048+0.048+0.132)*(E22/1000)*B22</f>
        <v>2.5326</v>
      </c>
      <c r="I22" s="50"/>
      <c r="J22" t="s">
        <v>56</v>
      </c>
    </row>
    <row r="23" spans="1:10" x14ac:dyDescent="0.25">
      <c r="A23" s="6" t="s">
        <v>60</v>
      </c>
      <c r="B23" s="49">
        <v>9</v>
      </c>
      <c r="C23" s="49" t="s">
        <v>9</v>
      </c>
      <c r="D23" s="49" t="s">
        <v>7</v>
      </c>
      <c r="E23" s="49">
        <v>660</v>
      </c>
      <c r="F23" s="49">
        <v>2</v>
      </c>
      <c r="G23" s="1">
        <f t="shared" si="0"/>
        <v>18</v>
      </c>
      <c r="H23" s="6">
        <f t="shared" ref="H23:H34" si="3">(0.137+0.05+0.05+0.002+0.002+0.048+0.048+0.132)*(E23/1000)*B23</f>
        <v>2.78586</v>
      </c>
    </row>
    <row r="24" spans="1:10" x14ac:dyDescent="0.25">
      <c r="A24" s="6" t="s">
        <v>60</v>
      </c>
      <c r="B24" s="49">
        <v>10</v>
      </c>
      <c r="C24" s="49" t="s">
        <v>9</v>
      </c>
      <c r="D24" s="49" t="s">
        <v>7</v>
      </c>
      <c r="E24" s="49">
        <v>720</v>
      </c>
      <c r="F24" s="49">
        <v>3</v>
      </c>
      <c r="G24" s="1">
        <f t="shared" si="0"/>
        <v>30</v>
      </c>
      <c r="H24" s="6">
        <f t="shared" si="3"/>
        <v>3.3767999999999998</v>
      </c>
    </row>
    <row r="25" spans="1:10" x14ac:dyDescent="0.25">
      <c r="A25" s="6" t="s">
        <v>60</v>
      </c>
      <c r="B25" s="49">
        <v>10</v>
      </c>
      <c r="C25" s="49" t="s">
        <v>9</v>
      </c>
      <c r="D25" s="49" t="s">
        <v>7</v>
      </c>
      <c r="E25" s="49">
        <v>770</v>
      </c>
      <c r="F25" s="49">
        <v>3</v>
      </c>
      <c r="G25" s="1">
        <f t="shared" si="0"/>
        <v>30</v>
      </c>
      <c r="H25" s="6">
        <f t="shared" si="3"/>
        <v>3.6113</v>
      </c>
    </row>
    <row r="26" spans="1:10" x14ac:dyDescent="0.25">
      <c r="A26" s="6" t="s">
        <v>60</v>
      </c>
      <c r="B26" s="49">
        <v>4</v>
      </c>
      <c r="C26" s="49" t="s">
        <v>9</v>
      </c>
      <c r="D26" s="49" t="s">
        <v>7</v>
      </c>
      <c r="E26" s="49">
        <v>840</v>
      </c>
      <c r="F26" s="49">
        <v>3</v>
      </c>
      <c r="G26" s="1">
        <f t="shared" si="0"/>
        <v>12</v>
      </c>
      <c r="H26" s="6">
        <f t="shared" si="3"/>
        <v>1.5758399999999999</v>
      </c>
    </row>
    <row r="27" spans="1:10" x14ac:dyDescent="0.25">
      <c r="A27" s="6" t="s">
        <v>60</v>
      </c>
      <c r="B27" s="49">
        <v>6</v>
      </c>
      <c r="C27" s="49" t="s">
        <v>9</v>
      </c>
      <c r="D27" s="49" t="s">
        <v>7</v>
      </c>
      <c r="E27" s="49">
        <v>850</v>
      </c>
      <c r="F27" s="49">
        <v>3</v>
      </c>
      <c r="G27" s="1">
        <f t="shared" si="0"/>
        <v>18</v>
      </c>
      <c r="H27" s="6">
        <f t="shared" si="3"/>
        <v>2.3918999999999997</v>
      </c>
    </row>
    <row r="28" spans="1:10" x14ac:dyDescent="0.25">
      <c r="A28" s="6" t="s">
        <v>60</v>
      </c>
      <c r="B28" s="49">
        <v>4</v>
      </c>
      <c r="C28" s="49" t="s">
        <v>9</v>
      </c>
      <c r="D28" s="49" t="s">
        <v>7</v>
      </c>
      <c r="E28" s="49">
        <v>860</v>
      </c>
      <c r="F28" s="49">
        <v>3</v>
      </c>
      <c r="G28" s="1">
        <f t="shared" si="0"/>
        <v>12</v>
      </c>
      <c r="H28" s="6">
        <f t="shared" si="3"/>
        <v>1.6133599999999999</v>
      </c>
    </row>
    <row r="29" spans="1:10" x14ac:dyDescent="0.25">
      <c r="A29" s="6" t="s">
        <v>60</v>
      </c>
      <c r="B29" s="49">
        <v>5</v>
      </c>
      <c r="C29" s="49" t="s">
        <v>9</v>
      </c>
      <c r="D29" s="49" t="s">
        <v>7</v>
      </c>
      <c r="E29" s="49">
        <v>870</v>
      </c>
      <c r="F29" s="49">
        <v>3</v>
      </c>
      <c r="G29" s="1">
        <f t="shared" si="0"/>
        <v>15</v>
      </c>
      <c r="H29" s="6">
        <f t="shared" si="3"/>
        <v>2.0401499999999997</v>
      </c>
    </row>
    <row r="30" spans="1:10" x14ac:dyDescent="0.25">
      <c r="A30" s="6" t="s">
        <v>60</v>
      </c>
      <c r="B30" s="49">
        <v>5</v>
      </c>
      <c r="C30" s="49" t="s">
        <v>9</v>
      </c>
      <c r="D30" s="49" t="s">
        <v>7</v>
      </c>
      <c r="E30" s="49">
        <v>880</v>
      </c>
      <c r="F30" s="49">
        <v>3</v>
      </c>
      <c r="G30" s="1">
        <f t="shared" si="0"/>
        <v>15</v>
      </c>
      <c r="H30" s="6">
        <f t="shared" si="3"/>
        <v>2.0636000000000001</v>
      </c>
    </row>
    <row r="31" spans="1:10" x14ac:dyDescent="0.25">
      <c r="A31" s="6" t="s">
        <v>60</v>
      </c>
      <c r="B31" s="49">
        <v>1</v>
      </c>
      <c r="C31" s="49" t="s">
        <v>9</v>
      </c>
      <c r="D31" s="49" t="s">
        <v>7</v>
      </c>
      <c r="E31" s="49">
        <v>900</v>
      </c>
      <c r="F31" s="49">
        <v>3</v>
      </c>
      <c r="G31" s="1">
        <f t="shared" si="0"/>
        <v>3</v>
      </c>
      <c r="H31" s="6">
        <f t="shared" si="3"/>
        <v>0.42209999999999998</v>
      </c>
    </row>
    <row r="32" spans="1:10" x14ac:dyDescent="0.25">
      <c r="A32" s="6" t="s">
        <v>60</v>
      </c>
      <c r="B32" s="49">
        <v>9</v>
      </c>
      <c r="C32" s="49" t="s">
        <v>9</v>
      </c>
      <c r="D32" s="49" t="s">
        <v>7</v>
      </c>
      <c r="E32" s="49">
        <v>1040</v>
      </c>
      <c r="F32" s="49">
        <v>4</v>
      </c>
      <c r="G32" s="1">
        <f t="shared" si="0"/>
        <v>36</v>
      </c>
      <c r="H32" s="6">
        <f t="shared" si="3"/>
        <v>4.3898399999999995</v>
      </c>
    </row>
    <row r="33" spans="1:10" x14ac:dyDescent="0.25">
      <c r="A33" s="6" t="s">
        <v>60</v>
      </c>
      <c r="B33" s="49">
        <v>19</v>
      </c>
      <c r="C33" s="49" t="s">
        <v>9</v>
      </c>
      <c r="D33" s="49" t="s">
        <v>7</v>
      </c>
      <c r="E33" s="49">
        <v>1110</v>
      </c>
      <c r="F33" s="49">
        <v>4</v>
      </c>
      <c r="G33" s="1">
        <f t="shared" si="0"/>
        <v>76</v>
      </c>
      <c r="H33" s="6">
        <f t="shared" si="3"/>
        <v>9.8912099999999992</v>
      </c>
    </row>
    <row r="34" spans="1:10" x14ac:dyDescent="0.25">
      <c r="A34" s="6" t="s">
        <v>60</v>
      </c>
      <c r="B34" s="49">
        <v>10</v>
      </c>
      <c r="C34" s="49" t="s">
        <v>9</v>
      </c>
      <c r="D34" s="49" t="s">
        <v>7</v>
      </c>
      <c r="E34" s="49">
        <v>1180</v>
      </c>
      <c r="F34" s="49">
        <v>4</v>
      </c>
      <c r="G34" s="1">
        <f t="shared" si="0"/>
        <v>40</v>
      </c>
      <c r="H34" s="6">
        <f t="shared" si="3"/>
        <v>5.5341999999999993</v>
      </c>
    </row>
    <row r="35" spans="1:10" x14ac:dyDescent="0.25">
      <c r="A35" s="6" t="s">
        <v>60</v>
      </c>
      <c r="B35" s="49">
        <v>1</v>
      </c>
      <c r="C35" s="49" t="s">
        <v>10</v>
      </c>
      <c r="D35" s="49" t="s">
        <v>7</v>
      </c>
      <c r="E35" s="49">
        <v>2550</v>
      </c>
      <c r="F35" s="49">
        <v>27</v>
      </c>
      <c r="G35" s="1">
        <f t="shared" si="0"/>
        <v>27</v>
      </c>
      <c r="H35" s="6">
        <f>(0.15+0.07+0.07+0.00475+0.00475+0.06525+0.06525+0.1405)*(E35/1000)*B35</f>
        <v>1.4547749999999999</v>
      </c>
    </row>
    <row r="36" spans="1:10" x14ac:dyDescent="0.25">
      <c r="A36" s="6" t="s">
        <v>60</v>
      </c>
      <c r="B36" s="49">
        <v>5</v>
      </c>
      <c r="C36" s="49" t="s">
        <v>10</v>
      </c>
      <c r="D36" s="49" t="s">
        <v>7</v>
      </c>
      <c r="E36" s="49">
        <v>4530</v>
      </c>
      <c r="F36" s="49">
        <v>47</v>
      </c>
      <c r="G36" s="1">
        <f t="shared" si="0"/>
        <v>235</v>
      </c>
      <c r="H36" s="6">
        <f t="shared" ref="H36:H37" si="4">(0.15+0.07+0.07+0.00475+0.00475+0.06525+0.06525+0.1405)*(E36/1000)*B36</f>
        <v>12.921825</v>
      </c>
    </row>
    <row r="37" spans="1:10" x14ac:dyDescent="0.25">
      <c r="A37" s="6" t="s">
        <v>60</v>
      </c>
      <c r="B37" s="49">
        <v>4</v>
      </c>
      <c r="C37" s="49" t="s">
        <v>10</v>
      </c>
      <c r="D37" s="49" t="s">
        <v>7</v>
      </c>
      <c r="E37" s="49">
        <v>4550</v>
      </c>
      <c r="F37" s="49">
        <v>48</v>
      </c>
      <c r="G37" s="1">
        <f t="shared" si="0"/>
        <v>192</v>
      </c>
      <c r="H37" s="6">
        <f t="shared" si="4"/>
        <v>10.383099999999999</v>
      </c>
    </row>
    <row r="38" spans="1:10" x14ac:dyDescent="0.25">
      <c r="A38" s="6" t="s">
        <v>60</v>
      </c>
      <c r="B38" s="49">
        <v>1</v>
      </c>
      <c r="C38" s="49" t="s">
        <v>17</v>
      </c>
      <c r="D38" s="49" t="s">
        <v>7</v>
      </c>
      <c r="E38" s="49">
        <v>7230</v>
      </c>
      <c r="F38" s="49">
        <v>100</v>
      </c>
      <c r="G38" s="1">
        <f t="shared" si="0"/>
        <v>100</v>
      </c>
      <c r="H38" s="6">
        <f>(0.15+0.07+0.07+0.00635+0.00635+0.06365+0.06365+0.1373)*(E38/1000)*B38</f>
        <v>4.1015790000000001</v>
      </c>
    </row>
    <row r="39" spans="1:10" x14ac:dyDescent="0.25">
      <c r="A39" s="6" t="s">
        <v>60</v>
      </c>
      <c r="B39" s="49">
        <v>4</v>
      </c>
      <c r="C39" s="49" t="s">
        <v>17</v>
      </c>
      <c r="D39" s="49" t="s">
        <v>7</v>
      </c>
      <c r="E39" s="49">
        <v>9060</v>
      </c>
      <c r="F39" s="49">
        <v>125</v>
      </c>
      <c r="G39" s="1">
        <f t="shared" si="0"/>
        <v>500</v>
      </c>
      <c r="H39" s="6">
        <f>(0.15+0.07+0.07+0.00635+0.00635+0.06365+0.06365+0.1373)*(E39/1000)*B39</f>
        <v>20.558952000000001</v>
      </c>
      <c r="I39" s="46"/>
      <c r="J39" t="s">
        <v>51</v>
      </c>
    </row>
    <row r="40" spans="1:10" x14ac:dyDescent="0.25">
      <c r="A40" s="6" t="s">
        <v>51</v>
      </c>
      <c r="B40" s="41">
        <v>1</v>
      </c>
      <c r="C40" s="41" t="s">
        <v>12</v>
      </c>
      <c r="D40" s="41" t="s">
        <v>7</v>
      </c>
      <c r="E40" s="41">
        <v>3380</v>
      </c>
      <c r="F40" s="41">
        <v>18</v>
      </c>
      <c r="G40" s="1">
        <f t="shared" si="0"/>
        <v>18</v>
      </c>
      <c r="H40" s="6">
        <f>(0.127+0.05+0.017+0.05+0.017+0.00265+0.00265+0.0447+0.0447+0.01435+0.01435+0.1217)*(E40/1000)*B40</f>
        <v>1.710618</v>
      </c>
    </row>
    <row r="41" spans="1:10" x14ac:dyDescent="0.25">
      <c r="A41" s="6" t="s">
        <v>51</v>
      </c>
      <c r="B41" s="41">
        <v>6</v>
      </c>
      <c r="C41" s="41" t="s">
        <v>12</v>
      </c>
      <c r="D41" s="41" t="s">
        <v>7</v>
      </c>
      <c r="E41" s="41">
        <v>3450</v>
      </c>
      <c r="F41" s="41">
        <v>18</v>
      </c>
      <c r="G41" s="1">
        <f t="shared" si="0"/>
        <v>108</v>
      </c>
      <c r="H41" s="6">
        <f t="shared" ref="H41:H48" si="5">(0.127+0.05+0.017+0.05+0.017+0.00265+0.00265+0.0447+0.0447+0.01435+0.01435+0.1217)*(E41/1000)*B41</f>
        <v>10.47627</v>
      </c>
    </row>
    <row r="42" spans="1:10" x14ac:dyDescent="0.25">
      <c r="A42" s="6" t="s">
        <v>51</v>
      </c>
      <c r="B42" s="41">
        <v>1</v>
      </c>
      <c r="C42" s="41" t="s">
        <v>12</v>
      </c>
      <c r="D42" s="41" t="s">
        <v>7</v>
      </c>
      <c r="E42" s="41">
        <v>3550</v>
      </c>
      <c r="F42" s="41">
        <v>18</v>
      </c>
      <c r="G42" s="1">
        <f t="shared" si="0"/>
        <v>18</v>
      </c>
      <c r="H42" s="6">
        <f t="shared" si="5"/>
        <v>1.7966549999999999</v>
      </c>
    </row>
    <row r="43" spans="1:10" x14ac:dyDescent="0.25">
      <c r="A43" s="6" t="s">
        <v>51</v>
      </c>
      <c r="B43" s="41">
        <v>8</v>
      </c>
      <c r="C43" s="41" t="s">
        <v>12</v>
      </c>
      <c r="D43" s="41" t="s">
        <v>7</v>
      </c>
      <c r="E43" s="41">
        <v>3630</v>
      </c>
      <c r="F43" s="41">
        <v>19</v>
      </c>
      <c r="G43" s="1">
        <f t="shared" si="0"/>
        <v>152</v>
      </c>
      <c r="H43" s="6">
        <f t="shared" si="5"/>
        <v>14.697144</v>
      </c>
    </row>
    <row r="44" spans="1:10" x14ac:dyDescent="0.25">
      <c r="A44" s="6" t="s">
        <v>51</v>
      </c>
      <c r="B44" s="41">
        <v>6</v>
      </c>
      <c r="C44" s="41" t="s">
        <v>12</v>
      </c>
      <c r="D44" s="41" t="s">
        <v>7</v>
      </c>
      <c r="E44" s="41">
        <v>3840</v>
      </c>
      <c r="F44" s="41">
        <v>20</v>
      </c>
      <c r="G44" s="1">
        <f t="shared" si="0"/>
        <v>120</v>
      </c>
      <c r="H44" s="6">
        <f t="shared" si="5"/>
        <v>11.660543999999998</v>
      </c>
    </row>
    <row r="45" spans="1:10" x14ac:dyDescent="0.25">
      <c r="A45" s="6" t="s">
        <v>51</v>
      </c>
      <c r="B45" s="41">
        <v>1</v>
      </c>
      <c r="C45" s="41" t="s">
        <v>12</v>
      </c>
      <c r="D45" s="41" t="s">
        <v>7</v>
      </c>
      <c r="E45" s="41">
        <v>3920</v>
      </c>
      <c r="F45" s="41">
        <v>20</v>
      </c>
      <c r="G45" s="1">
        <f t="shared" si="0"/>
        <v>20</v>
      </c>
      <c r="H45" s="6">
        <f t="shared" si="5"/>
        <v>1.9839119999999999</v>
      </c>
    </row>
    <row r="46" spans="1:10" x14ac:dyDescent="0.25">
      <c r="A46" s="6" t="s">
        <v>51</v>
      </c>
      <c r="B46" s="41">
        <v>6</v>
      </c>
      <c r="C46" s="41" t="s">
        <v>12</v>
      </c>
      <c r="D46" s="41" t="s">
        <v>7</v>
      </c>
      <c r="E46" s="41">
        <v>4550</v>
      </c>
      <c r="F46" s="41">
        <v>24</v>
      </c>
      <c r="G46" s="1">
        <f t="shared" si="0"/>
        <v>144</v>
      </c>
      <c r="H46" s="6">
        <f t="shared" si="5"/>
        <v>13.81653</v>
      </c>
    </row>
    <row r="47" spans="1:10" x14ac:dyDescent="0.25">
      <c r="A47" s="6" t="s">
        <v>51</v>
      </c>
      <c r="B47" s="41">
        <v>1</v>
      </c>
      <c r="C47" s="41" t="s">
        <v>12</v>
      </c>
      <c r="D47" s="41" t="s">
        <v>7</v>
      </c>
      <c r="E47" s="41">
        <v>4620</v>
      </c>
      <c r="F47" s="41">
        <v>24</v>
      </c>
      <c r="G47" s="1">
        <f t="shared" si="0"/>
        <v>24</v>
      </c>
      <c r="H47" s="6">
        <f t="shared" si="5"/>
        <v>2.3381820000000002</v>
      </c>
    </row>
    <row r="48" spans="1:10" x14ac:dyDescent="0.25">
      <c r="A48" s="6" t="s">
        <v>51</v>
      </c>
      <c r="B48" s="41">
        <v>2</v>
      </c>
      <c r="C48" s="41" t="s">
        <v>12</v>
      </c>
      <c r="D48" s="41" t="s">
        <v>7</v>
      </c>
      <c r="E48" s="41">
        <v>16130</v>
      </c>
      <c r="F48" s="41">
        <v>84</v>
      </c>
      <c r="G48" s="1">
        <f t="shared" si="0"/>
        <v>168</v>
      </c>
      <c r="H48" s="6">
        <f t="shared" si="5"/>
        <v>16.326785999999998</v>
      </c>
    </row>
    <row r="49" spans="1:10" x14ac:dyDescent="0.25">
      <c r="A49" s="6" t="s">
        <v>60</v>
      </c>
      <c r="B49" s="49">
        <v>18</v>
      </c>
      <c r="C49" s="49" t="s">
        <v>13</v>
      </c>
      <c r="D49" s="49" t="s">
        <v>7</v>
      </c>
      <c r="E49" s="49">
        <v>160</v>
      </c>
      <c r="F49" s="49">
        <v>1</v>
      </c>
      <c r="G49" s="1">
        <f t="shared" si="0"/>
        <v>18</v>
      </c>
      <c r="H49" s="6">
        <f>(0.15+0.06+0.02+0.06+0.02+0.00304+0.00304+0.05392+0.05392+0.01696+0.01696+0.14392)*(E49/1000)*B49</f>
        <v>1.7330687999999999</v>
      </c>
    </row>
    <row r="50" spans="1:10" x14ac:dyDescent="0.25">
      <c r="A50" s="6" t="s">
        <v>60</v>
      </c>
      <c r="B50" s="49">
        <v>2</v>
      </c>
      <c r="C50" s="49" t="s">
        <v>13</v>
      </c>
      <c r="D50" s="49" t="s">
        <v>7</v>
      </c>
      <c r="E50" s="49">
        <v>370</v>
      </c>
      <c r="F50" s="49">
        <v>3</v>
      </c>
      <c r="G50" s="1">
        <f t="shared" si="0"/>
        <v>6</v>
      </c>
      <c r="H50" s="6">
        <f t="shared" ref="H50:H55" si="6">(0.15+0.06+0.02+0.06+0.02+0.00304+0.00304+0.05392+0.05392+0.01696+0.01696+0.14392)*(E50/1000)*B50</f>
        <v>0.44530239999999999</v>
      </c>
    </row>
    <row r="51" spans="1:10" x14ac:dyDescent="0.25">
      <c r="A51" s="6" t="s">
        <v>60</v>
      </c>
      <c r="B51" s="49">
        <v>40</v>
      </c>
      <c r="C51" s="49" t="s">
        <v>13</v>
      </c>
      <c r="D51" s="49" t="s">
        <v>7</v>
      </c>
      <c r="E51" s="49">
        <v>550</v>
      </c>
      <c r="F51" s="49">
        <v>4</v>
      </c>
      <c r="G51" s="1">
        <f t="shared" si="0"/>
        <v>160</v>
      </c>
      <c r="H51" s="6">
        <f t="shared" si="6"/>
        <v>13.238719999999999</v>
      </c>
    </row>
    <row r="52" spans="1:10" x14ac:dyDescent="0.25">
      <c r="A52" s="6" t="s">
        <v>60</v>
      </c>
      <c r="B52" s="49">
        <v>4</v>
      </c>
      <c r="C52" s="49" t="s">
        <v>13</v>
      </c>
      <c r="D52" s="49" t="s">
        <v>7</v>
      </c>
      <c r="E52" s="49">
        <v>590</v>
      </c>
      <c r="F52" s="49">
        <v>4</v>
      </c>
      <c r="G52" s="1">
        <f t="shared" si="0"/>
        <v>16</v>
      </c>
      <c r="H52" s="6">
        <f t="shared" si="6"/>
        <v>1.4201535999999999</v>
      </c>
    </row>
    <row r="53" spans="1:10" x14ac:dyDescent="0.25">
      <c r="A53" s="6" t="s">
        <v>60</v>
      </c>
      <c r="B53" s="49">
        <v>14</v>
      </c>
      <c r="C53" s="49" t="s">
        <v>13</v>
      </c>
      <c r="D53" s="49" t="s">
        <v>7</v>
      </c>
      <c r="E53" s="49">
        <v>600</v>
      </c>
      <c r="F53" s="49">
        <v>4</v>
      </c>
      <c r="G53" s="1">
        <f t="shared" si="0"/>
        <v>56</v>
      </c>
      <c r="H53" s="6">
        <f t="shared" si="6"/>
        <v>5.0547839999999997</v>
      </c>
    </row>
    <row r="54" spans="1:10" x14ac:dyDescent="0.25">
      <c r="A54" s="6" t="s">
        <v>60</v>
      </c>
      <c r="B54" s="49">
        <v>1</v>
      </c>
      <c r="C54" s="49" t="s">
        <v>13</v>
      </c>
      <c r="D54" s="49" t="s">
        <v>7</v>
      </c>
      <c r="E54" s="49">
        <v>710</v>
      </c>
      <c r="F54" s="49">
        <v>5</v>
      </c>
      <c r="G54" s="1">
        <f t="shared" si="0"/>
        <v>5</v>
      </c>
      <c r="H54" s="6">
        <f t="shared" si="6"/>
        <v>0.42724959999999995</v>
      </c>
    </row>
    <row r="55" spans="1:10" x14ac:dyDescent="0.25">
      <c r="A55" s="6" t="s">
        <v>60</v>
      </c>
      <c r="B55" s="49">
        <v>1</v>
      </c>
      <c r="C55" s="49" t="s">
        <v>13</v>
      </c>
      <c r="D55" s="49" t="s">
        <v>7</v>
      </c>
      <c r="E55" s="49">
        <v>720</v>
      </c>
      <c r="F55" s="49">
        <v>5</v>
      </c>
      <c r="G55" s="1">
        <f t="shared" si="0"/>
        <v>5</v>
      </c>
      <c r="H55" s="6">
        <f t="shared" si="6"/>
        <v>0.43326719999999996</v>
      </c>
    </row>
    <row r="56" spans="1:10" x14ac:dyDescent="0.25">
      <c r="A56" t="s">
        <v>50</v>
      </c>
      <c r="B56" s="44">
        <v>8</v>
      </c>
      <c r="C56" s="44" t="s">
        <v>14</v>
      </c>
      <c r="D56" s="44" t="s">
        <v>7</v>
      </c>
      <c r="E56" s="44">
        <v>200</v>
      </c>
      <c r="F56" s="44">
        <v>1</v>
      </c>
      <c r="G56" s="1">
        <f t="shared" si="0"/>
        <v>8</v>
      </c>
      <c r="H56" s="6">
        <f>(0.15+0.075+0.02+0.075+0.02+0.002+0.002+0.071+0.071+0.018+0.018+0.146)*(E56/1000)*B56</f>
        <v>1.0688000000000002</v>
      </c>
      <c r="I56" s="43"/>
      <c r="J56" t="s">
        <v>49</v>
      </c>
    </row>
    <row r="57" spans="1:10" x14ac:dyDescent="0.25">
      <c r="A57" t="s">
        <v>49</v>
      </c>
      <c r="B57" s="42">
        <v>8</v>
      </c>
      <c r="C57" s="42" t="s">
        <v>14</v>
      </c>
      <c r="D57" s="42" t="s">
        <v>7</v>
      </c>
      <c r="E57" s="42">
        <v>400</v>
      </c>
      <c r="F57" s="42">
        <v>2</v>
      </c>
      <c r="G57" s="1">
        <f t="shared" si="0"/>
        <v>16</v>
      </c>
      <c r="H57" s="6">
        <f t="shared" ref="H57:H63" si="7">(0.15+0.075+0.02+0.075+0.02+0.002+0.002+0.071+0.071+0.018+0.018+0.146)*(E57/1000)*B57</f>
        <v>2.1376000000000004</v>
      </c>
      <c r="I57" s="45"/>
      <c r="J57" t="s">
        <v>50</v>
      </c>
    </row>
    <row r="58" spans="1:10" x14ac:dyDescent="0.25">
      <c r="A58" s="6" t="s">
        <v>50</v>
      </c>
      <c r="B58" s="44">
        <v>4</v>
      </c>
      <c r="C58" s="44" t="s">
        <v>14</v>
      </c>
      <c r="D58" s="44" t="s">
        <v>7</v>
      </c>
      <c r="E58" s="44">
        <v>490</v>
      </c>
      <c r="F58" s="44">
        <v>3</v>
      </c>
      <c r="G58" s="1">
        <f t="shared" si="0"/>
        <v>12</v>
      </c>
      <c r="H58" s="6">
        <f t="shared" si="7"/>
        <v>1.30928</v>
      </c>
    </row>
    <row r="59" spans="1:10" x14ac:dyDescent="0.25">
      <c r="A59" s="6" t="s">
        <v>50</v>
      </c>
      <c r="B59" s="44">
        <v>4</v>
      </c>
      <c r="C59" s="44" t="s">
        <v>14</v>
      </c>
      <c r="D59" s="44" t="s">
        <v>7</v>
      </c>
      <c r="E59" s="44">
        <v>1500</v>
      </c>
      <c r="F59" s="44">
        <v>8</v>
      </c>
      <c r="G59" s="1">
        <f t="shared" si="0"/>
        <v>32</v>
      </c>
      <c r="H59" s="6">
        <f t="shared" si="7"/>
        <v>4.008</v>
      </c>
    </row>
    <row r="60" spans="1:10" x14ac:dyDescent="0.25">
      <c r="A60" s="6" t="s">
        <v>50</v>
      </c>
      <c r="B60" s="44">
        <v>8</v>
      </c>
      <c r="C60" s="44" t="s">
        <v>14</v>
      </c>
      <c r="D60" s="44" t="s">
        <v>7</v>
      </c>
      <c r="E60" s="44">
        <v>1980</v>
      </c>
      <c r="F60" s="44">
        <v>10</v>
      </c>
      <c r="G60" s="1">
        <f t="shared" si="0"/>
        <v>80</v>
      </c>
      <c r="H60" s="6">
        <f t="shared" si="7"/>
        <v>10.58112</v>
      </c>
    </row>
    <row r="61" spans="1:10" x14ac:dyDescent="0.25">
      <c r="A61" s="6" t="s">
        <v>50</v>
      </c>
      <c r="B61" s="44">
        <v>4</v>
      </c>
      <c r="C61" s="44" t="s">
        <v>14</v>
      </c>
      <c r="D61" s="44" t="s">
        <v>7</v>
      </c>
      <c r="E61" s="44">
        <v>4050</v>
      </c>
      <c r="F61" s="44">
        <v>21</v>
      </c>
      <c r="G61" s="1">
        <f t="shared" si="0"/>
        <v>84</v>
      </c>
      <c r="H61" s="6">
        <f t="shared" si="7"/>
        <v>10.8216</v>
      </c>
    </row>
    <row r="62" spans="1:10" x14ac:dyDescent="0.25">
      <c r="A62" s="6" t="s">
        <v>50</v>
      </c>
      <c r="B62" s="44">
        <v>4</v>
      </c>
      <c r="C62" s="44" t="s">
        <v>14</v>
      </c>
      <c r="D62" s="44" t="s">
        <v>7</v>
      </c>
      <c r="E62" s="44">
        <v>4080</v>
      </c>
      <c r="F62" s="44">
        <v>21</v>
      </c>
      <c r="G62" s="1">
        <f t="shared" si="0"/>
        <v>84</v>
      </c>
      <c r="H62" s="6">
        <f t="shared" si="7"/>
        <v>10.901760000000001</v>
      </c>
    </row>
    <row r="63" spans="1:10" x14ac:dyDescent="0.25">
      <c r="A63" s="6" t="s">
        <v>50</v>
      </c>
      <c r="B63" s="44">
        <v>4</v>
      </c>
      <c r="C63" s="44" t="s">
        <v>14</v>
      </c>
      <c r="D63" s="44" t="s">
        <v>7</v>
      </c>
      <c r="E63" s="44">
        <v>8000</v>
      </c>
      <c r="F63" s="44">
        <v>42</v>
      </c>
      <c r="G63" s="1">
        <f t="shared" si="0"/>
        <v>168</v>
      </c>
      <c r="H63" s="6">
        <f t="shared" si="7"/>
        <v>21.376000000000001</v>
      </c>
    </row>
    <row r="64" spans="1:10" x14ac:dyDescent="0.25">
      <c r="A64" s="6" t="s">
        <v>49</v>
      </c>
      <c r="B64" s="42">
        <v>8</v>
      </c>
      <c r="C64" s="42" t="s">
        <v>15</v>
      </c>
      <c r="D64" s="42" t="s">
        <v>7</v>
      </c>
      <c r="E64" s="42">
        <v>3050</v>
      </c>
      <c r="F64" s="42">
        <v>24</v>
      </c>
      <c r="G64" s="1">
        <f t="shared" si="0"/>
        <v>192</v>
      </c>
      <c r="H64" s="6">
        <f>(0.15+0.075+0.02+0.075+0.02+0.00304+0.00304+0.06892+0.06892+0.01696+0.01696+0.14392)*(E64/1000)*B64</f>
        <v>16.146943999999998</v>
      </c>
    </row>
    <row r="66" spans="2:10" x14ac:dyDescent="0.25">
      <c r="C66" s="2"/>
      <c r="D66" s="3"/>
      <c r="E66" s="3"/>
      <c r="F66" s="4"/>
      <c r="G66">
        <f>SUM(G10:G64)</f>
        <v>3241</v>
      </c>
      <c r="H66">
        <f>SUM(H10:H64)</f>
        <v>278.52890715140393</v>
      </c>
    </row>
    <row r="68" spans="2:10" x14ac:dyDescent="0.25">
      <c r="C68" s="2" t="s">
        <v>16</v>
      </c>
      <c r="D68" s="3"/>
      <c r="E68" s="3"/>
      <c r="F68" s="4">
        <f>F66+G66</f>
        <v>3241</v>
      </c>
    </row>
    <row r="70" spans="2:10" x14ac:dyDescent="0.25">
      <c r="E70" t="s">
        <v>61</v>
      </c>
      <c r="F70" t="s">
        <v>62</v>
      </c>
    </row>
    <row r="71" spans="2:10" x14ac:dyDescent="0.25">
      <c r="B71" t="s">
        <v>66</v>
      </c>
      <c r="E71">
        <f>SUMIF($A$10:$A$64,"CONT",$G$10:$G$64)</f>
        <v>60</v>
      </c>
      <c r="F71" s="6">
        <f>SUMIF($A$10:$A$64,"CONT",$H$10:$H$64)</f>
        <v>2.8859455514039234</v>
      </c>
    </row>
    <row r="72" spans="2:10" x14ac:dyDescent="0.25">
      <c r="B72" s="6" t="s">
        <v>67</v>
      </c>
      <c r="E72" s="6">
        <f>SUMIF($A$10:$A$64,"CONTC",$G$10:$G$64)</f>
        <v>90</v>
      </c>
      <c r="F72" s="6">
        <f>SUMIF($A$10:$A$64,"CONTC",$H$10:$H$64)</f>
        <v>8.0836800000000011</v>
      </c>
    </row>
    <row r="73" spans="2:10" x14ac:dyDescent="0.25">
      <c r="B73" t="s">
        <v>56</v>
      </c>
      <c r="E73" s="6">
        <f>SUMIF($A$10:$A$64,"TRELICA",$G$10:$G$64)</f>
        <v>1643</v>
      </c>
      <c r="F73" s="6">
        <f>SUMIF($A$10:$A$64,"TRELICA",$H$10:$H$64)</f>
        <v>114.4015366</v>
      </c>
    </row>
    <row r="74" spans="2:10" x14ac:dyDescent="0.25">
      <c r="B74" t="s">
        <v>49</v>
      </c>
      <c r="E74" s="6">
        <f>SUMIF($A$10:$A$64,"PILAR",$G$10:$G$64)</f>
        <v>208</v>
      </c>
      <c r="F74" s="6">
        <f>SUMIF($A$10:$A$64,"PILAR",$H$10:$H$64)</f>
        <v>18.284543999999997</v>
      </c>
    </row>
    <row r="75" spans="2:10" x14ac:dyDescent="0.25">
      <c r="B75" t="s">
        <v>50</v>
      </c>
      <c r="E75" s="6">
        <f>SUMIF($A$10:$A$64,"VIGA",$G$10:$G$64)</f>
        <v>468</v>
      </c>
      <c r="F75" s="6">
        <f>SUMIF($A$10:$A$64,"VIGA",$H$10:$H$64)</f>
        <v>60.066559999999996</v>
      </c>
    </row>
    <row r="76" spans="2:10" x14ac:dyDescent="0.25">
      <c r="B76" t="s">
        <v>51</v>
      </c>
      <c r="E76" s="6">
        <f>SUMIF($A$10:$A$64,"TRAMA",$G$10:$G$64)</f>
        <v>772</v>
      </c>
      <c r="F76" s="6">
        <f>SUMIF($A$10:$A$64,"TRAMA",$H$10:$H$64)</f>
        <v>74.806640999999985</v>
      </c>
    </row>
    <row r="79" spans="2:10" x14ac:dyDescent="0.25">
      <c r="C79" s="6" t="s">
        <v>19</v>
      </c>
      <c r="D79" s="6"/>
      <c r="E79" s="6"/>
      <c r="F79" s="6"/>
      <c r="G79" s="6"/>
      <c r="H79" s="6"/>
      <c r="I79" s="6"/>
      <c r="J79" s="6"/>
    </row>
    <row r="80" spans="2:10" ht="15.75" thickBot="1" x14ac:dyDescent="0.3">
      <c r="C80" s="6"/>
      <c r="D80" s="6"/>
      <c r="E80" s="6"/>
      <c r="F80" s="6"/>
      <c r="G80" s="6"/>
      <c r="H80" s="6"/>
      <c r="I80" s="6"/>
      <c r="J80" s="6"/>
    </row>
    <row r="81" spans="3:10" ht="15.75" thickBot="1" x14ac:dyDescent="0.3">
      <c r="C81" s="11" t="s">
        <v>18</v>
      </c>
      <c r="D81" s="12"/>
      <c r="E81" s="12"/>
      <c r="F81" s="13"/>
      <c r="G81" s="6"/>
      <c r="H81" s="6"/>
      <c r="I81" s="6"/>
      <c r="J81" s="6"/>
    </row>
    <row r="82" spans="3:10" x14ac:dyDescent="0.25">
      <c r="C82" s="10" t="s">
        <v>20</v>
      </c>
      <c r="D82" s="10" t="s">
        <v>21</v>
      </c>
      <c r="E82" s="10" t="s">
        <v>1</v>
      </c>
      <c r="F82" s="10" t="s">
        <v>22</v>
      </c>
      <c r="G82" s="6"/>
      <c r="H82" s="6"/>
      <c r="I82" s="6"/>
      <c r="J82" s="6"/>
    </row>
    <row r="83" spans="3:10" x14ac:dyDescent="0.25">
      <c r="C83" s="8" t="s">
        <v>23</v>
      </c>
      <c r="D83" s="8">
        <v>36400</v>
      </c>
      <c r="E83" s="8">
        <v>2</v>
      </c>
      <c r="F83" s="9">
        <f>(G83+H83+H83)*I83*D83*7850*E83/1000000000</f>
        <v>434.32479999999998</v>
      </c>
      <c r="G83" s="6">
        <v>400</v>
      </c>
      <c r="H83" s="6">
        <v>200</v>
      </c>
      <c r="I83" s="6">
        <v>0.95</v>
      </c>
    </row>
    <row r="84" spans="3:10" x14ac:dyDescent="0.25">
      <c r="C84" s="8" t="s">
        <v>24</v>
      </c>
      <c r="D84" s="8">
        <v>6800</v>
      </c>
      <c r="E84" s="8">
        <v>1</v>
      </c>
      <c r="F84" s="9">
        <v>30.426599999999997</v>
      </c>
      <c r="G84" s="6">
        <v>300</v>
      </c>
      <c r="H84" s="6">
        <v>150</v>
      </c>
      <c r="I84" s="6">
        <v>0.95</v>
      </c>
    </row>
    <row r="85" spans="3:10" x14ac:dyDescent="0.25">
      <c r="C85" s="8" t="s">
        <v>24</v>
      </c>
      <c r="D85" s="8">
        <v>12100</v>
      </c>
      <c r="E85" s="8">
        <v>1</v>
      </c>
      <c r="F85" s="9">
        <v>54.141449999999999</v>
      </c>
      <c r="G85" s="6">
        <v>300</v>
      </c>
      <c r="H85" s="6">
        <v>150</v>
      </c>
      <c r="I85" s="6">
        <v>0.95</v>
      </c>
    </row>
    <row r="86" spans="3:10" x14ac:dyDescent="0.25">
      <c r="C86" s="6"/>
      <c r="D86" s="6"/>
      <c r="E86" s="6" t="s">
        <v>25</v>
      </c>
      <c r="F86" s="7">
        <v>518.89284999999995</v>
      </c>
      <c r="G86" s="6"/>
      <c r="H86" s="6"/>
      <c r="I86" s="6"/>
    </row>
    <row r="89" spans="3:10" x14ac:dyDescent="0.25">
      <c r="C89" s="6" t="s">
        <v>26</v>
      </c>
      <c r="D89" s="6"/>
      <c r="E89" s="6"/>
      <c r="F89" s="6"/>
      <c r="G89" s="6"/>
      <c r="H89" s="6"/>
      <c r="I89" s="6"/>
    </row>
    <row r="90" spans="3:10" ht="15.75" thickBot="1" x14ac:dyDescent="0.3">
      <c r="C90" s="6"/>
      <c r="D90" s="6"/>
      <c r="E90" s="6"/>
      <c r="F90" s="6"/>
      <c r="G90" s="6"/>
      <c r="H90" s="6"/>
      <c r="I90" s="6"/>
    </row>
    <row r="91" spans="3:10" ht="15.75" thickBot="1" x14ac:dyDescent="0.3">
      <c r="C91" s="11" t="s">
        <v>18</v>
      </c>
      <c r="D91" s="12"/>
      <c r="E91" s="12"/>
      <c r="F91" s="13"/>
      <c r="G91" s="6"/>
      <c r="H91" s="6"/>
      <c r="I91" s="6"/>
    </row>
    <row r="92" spans="3:10" x14ac:dyDescent="0.25">
      <c r="C92" s="10" t="s">
        <v>20</v>
      </c>
      <c r="D92" s="10" t="s">
        <v>21</v>
      </c>
      <c r="E92" s="10" t="s">
        <v>1</v>
      </c>
      <c r="F92" s="10" t="s">
        <v>22</v>
      </c>
      <c r="G92" s="6"/>
      <c r="H92" s="6"/>
      <c r="I92" s="6"/>
    </row>
    <row r="93" spans="3:10" x14ac:dyDescent="0.25">
      <c r="C93" s="8" t="s">
        <v>24</v>
      </c>
      <c r="D93" s="8">
        <v>16180</v>
      </c>
      <c r="E93" s="8">
        <v>1</v>
      </c>
      <c r="F93" s="9">
        <f>(G93+H93+H93)*I93*D93*7850*E93/1000000000</f>
        <v>72.397409999999994</v>
      </c>
      <c r="G93" s="6">
        <v>300</v>
      </c>
      <c r="H93" s="6">
        <v>150</v>
      </c>
      <c r="I93" s="6">
        <v>0.95</v>
      </c>
    </row>
    <row r="94" spans="3:10" x14ac:dyDescent="0.25">
      <c r="C94" s="8" t="s">
        <v>28</v>
      </c>
      <c r="D94" s="8">
        <v>3680</v>
      </c>
      <c r="E94" s="8">
        <v>2</v>
      </c>
      <c r="F94" s="9">
        <f>(G94+H94+H94)*I94*D94*7850*E94/1000000000</f>
        <v>41.165399999999998</v>
      </c>
      <c r="G94" s="6">
        <v>450</v>
      </c>
      <c r="H94" s="6">
        <v>150</v>
      </c>
      <c r="I94" s="6">
        <v>0.95</v>
      </c>
    </row>
    <row r="95" spans="3:10" x14ac:dyDescent="0.25">
      <c r="C95" s="8" t="s">
        <v>28</v>
      </c>
      <c r="D95" s="8">
        <v>8240</v>
      </c>
      <c r="E95" s="8">
        <v>1</v>
      </c>
      <c r="F95" s="9">
        <f>(G95+H95+H95)*I95*D95*7850*E95/1000000000</f>
        <v>46.087350000000001</v>
      </c>
      <c r="G95" s="6">
        <v>450</v>
      </c>
      <c r="H95" s="6">
        <v>150</v>
      </c>
      <c r="I95" s="6">
        <v>0.95</v>
      </c>
    </row>
    <row r="96" spans="3:10" x14ac:dyDescent="0.25">
      <c r="C96" s="8" t="s">
        <v>28</v>
      </c>
      <c r="D96" s="8">
        <v>15580</v>
      </c>
      <c r="E96" s="8">
        <v>1</v>
      </c>
      <c r="F96" s="9">
        <f>(G96+H96+H96)*I96*D96*7850*E96/1000000000</f>
        <v>87.140887500000005</v>
      </c>
      <c r="G96" s="6">
        <v>450</v>
      </c>
      <c r="H96" s="6">
        <v>150</v>
      </c>
      <c r="I96" s="6">
        <v>0.95</v>
      </c>
    </row>
    <row r="97" spans="5:6" x14ac:dyDescent="0.25">
      <c r="E97" t="s">
        <v>25</v>
      </c>
      <c r="F97" s="7">
        <f>SUM(F93:F96)</f>
        <v>246.79104749999999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3B78-28F2-483A-B48C-4FDEEF754CF9}">
  <dimension ref="B7:K98"/>
  <sheetViews>
    <sheetView showGridLines="0" view="pageBreakPreview" topLeftCell="A75" zoomScaleNormal="100" zoomScaleSheetLayoutView="100" workbookViewId="0">
      <selection activeCell="G84" sqref="G84:G89"/>
    </sheetView>
  </sheetViews>
  <sheetFormatPr defaultRowHeight="15" x14ac:dyDescent="0.25"/>
  <cols>
    <col min="3" max="3" width="4.7109375" bestFit="1" customWidth="1"/>
    <col min="4" max="4" width="17.42578125" bestFit="1" customWidth="1"/>
    <col min="5" max="5" width="6.7109375" bestFit="1" customWidth="1"/>
    <col min="6" max="6" width="13.7109375" bestFit="1" customWidth="1"/>
    <col min="7" max="9" width="9" bestFit="1" customWidth="1"/>
    <col min="10" max="10" width="5.7109375" bestFit="1" customWidth="1"/>
    <col min="11" max="11" width="13.140625" bestFit="1" customWidth="1"/>
    <col min="12" max="12" width="10.5703125" bestFit="1" customWidth="1"/>
    <col min="13" max="13" width="5.5703125" bestFit="1" customWidth="1"/>
    <col min="15" max="16" width="4" bestFit="1" customWidth="1"/>
    <col min="17" max="17" width="5" bestFit="1" customWidth="1"/>
  </cols>
  <sheetData>
    <row r="7" spans="2:9" ht="30" x14ac:dyDescent="0.25">
      <c r="C7" s="48"/>
      <c r="D7" s="59" t="s">
        <v>70</v>
      </c>
      <c r="E7" s="50"/>
      <c r="F7" s="6" t="s">
        <v>56</v>
      </c>
      <c r="G7" s="43"/>
      <c r="H7" s="6" t="s">
        <v>49</v>
      </c>
    </row>
    <row r="8" spans="2:9" ht="30" x14ac:dyDescent="0.25">
      <c r="C8" s="47"/>
      <c r="D8" s="59" t="s">
        <v>71</v>
      </c>
      <c r="E8" s="46"/>
      <c r="F8" s="6" t="s">
        <v>51</v>
      </c>
      <c r="G8" s="45"/>
      <c r="H8" s="6" t="s">
        <v>50</v>
      </c>
    </row>
    <row r="10" spans="2:9" x14ac:dyDescent="0.25">
      <c r="C10" s="192" t="s">
        <v>0</v>
      </c>
      <c r="D10" s="192"/>
      <c r="E10" s="192"/>
      <c r="F10" s="192"/>
      <c r="G10" s="192"/>
    </row>
    <row r="11" spans="2:9" x14ac:dyDescent="0.25">
      <c r="C11" s="6"/>
      <c r="D11" s="6"/>
      <c r="E11" s="6"/>
      <c r="F11" s="6"/>
      <c r="G11" s="6"/>
    </row>
    <row r="12" spans="2:9" ht="45" x14ac:dyDescent="0.25"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2" t="s">
        <v>57</v>
      </c>
      <c r="I12" s="52" t="s">
        <v>58</v>
      </c>
    </row>
    <row r="14" spans="2:9" x14ac:dyDescent="0.25">
      <c r="B14" s="6" t="s">
        <v>59</v>
      </c>
      <c r="C14" s="40">
        <v>2</v>
      </c>
      <c r="D14" s="40" t="s">
        <v>6</v>
      </c>
      <c r="E14" s="40" t="s">
        <v>7</v>
      </c>
      <c r="F14" s="40">
        <v>2340</v>
      </c>
      <c r="G14" s="40">
        <v>2</v>
      </c>
      <c r="H14">
        <f>G14*C14</f>
        <v>4</v>
      </c>
      <c r="I14" s="6">
        <f>2*PI()*(0.00625)*C14*(F14/1000)</f>
        <v>0.18378317023500287</v>
      </c>
    </row>
    <row r="15" spans="2:9" x14ac:dyDescent="0.25">
      <c r="B15" s="6" t="s">
        <v>59</v>
      </c>
      <c r="C15" s="40">
        <v>6</v>
      </c>
      <c r="D15" s="40" t="s">
        <v>6</v>
      </c>
      <c r="E15" s="40" t="s">
        <v>7</v>
      </c>
      <c r="F15" s="40">
        <v>2480</v>
      </c>
      <c r="G15" s="40">
        <v>2</v>
      </c>
      <c r="H15" s="6">
        <f t="shared" ref="H15:H77" si="0">G15*C15</f>
        <v>12</v>
      </c>
      <c r="I15" s="6">
        <f t="shared" ref="I15:I23" si="1">2*PI()*(0.00625)*C15*(F15/1000)</f>
        <v>0.58433623356770148</v>
      </c>
    </row>
    <row r="16" spans="2:9" x14ac:dyDescent="0.25">
      <c r="B16" s="6" t="s">
        <v>59</v>
      </c>
      <c r="C16" s="40">
        <v>6</v>
      </c>
      <c r="D16" s="40" t="s">
        <v>6</v>
      </c>
      <c r="E16" s="40" t="s">
        <v>7</v>
      </c>
      <c r="F16" s="40">
        <v>2510</v>
      </c>
      <c r="G16" s="40">
        <v>2</v>
      </c>
      <c r="H16" s="6">
        <f t="shared" si="0"/>
        <v>12</v>
      </c>
      <c r="I16" s="6">
        <f t="shared" si="1"/>
        <v>0.59140481703827852</v>
      </c>
    </row>
    <row r="17" spans="2:9" x14ac:dyDescent="0.25">
      <c r="B17" s="6" t="s">
        <v>59</v>
      </c>
      <c r="C17" s="40">
        <v>8</v>
      </c>
      <c r="D17" s="40" t="s">
        <v>6</v>
      </c>
      <c r="E17" s="40" t="s">
        <v>7</v>
      </c>
      <c r="F17" s="40">
        <v>2560</v>
      </c>
      <c r="G17" s="40">
        <v>2</v>
      </c>
      <c r="H17" s="6">
        <f t="shared" si="0"/>
        <v>16</v>
      </c>
      <c r="I17" s="6">
        <f t="shared" si="1"/>
        <v>0.80424771931898709</v>
      </c>
    </row>
    <row r="18" spans="2:9" x14ac:dyDescent="0.25">
      <c r="B18" s="6" t="s">
        <v>59</v>
      </c>
      <c r="C18" s="40">
        <v>4</v>
      </c>
      <c r="D18" s="40" t="s">
        <v>6</v>
      </c>
      <c r="E18" s="40" t="s">
        <v>7</v>
      </c>
      <c r="F18" s="40">
        <v>2600</v>
      </c>
      <c r="G18" s="40">
        <v>2</v>
      </c>
      <c r="H18" s="6">
        <f t="shared" si="0"/>
        <v>8</v>
      </c>
      <c r="I18" s="6">
        <f t="shared" si="1"/>
        <v>0.40840704496667313</v>
      </c>
    </row>
    <row r="19" spans="2:9" x14ac:dyDescent="0.25">
      <c r="B19" s="6" t="s">
        <v>59</v>
      </c>
      <c r="C19" s="40">
        <v>2</v>
      </c>
      <c r="D19" s="40" t="s">
        <v>6</v>
      </c>
      <c r="E19" s="40" t="s">
        <v>7</v>
      </c>
      <c r="F19" s="40">
        <v>2660</v>
      </c>
      <c r="G19" s="40">
        <v>2</v>
      </c>
      <c r="H19" s="6">
        <f t="shared" si="0"/>
        <v>4</v>
      </c>
      <c r="I19" s="6">
        <f t="shared" si="1"/>
        <v>0.20891591146372127</v>
      </c>
    </row>
    <row r="20" spans="2:9" x14ac:dyDescent="0.25">
      <c r="B20" s="6" t="s">
        <v>59</v>
      </c>
      <c r="C20" s="40">
        <v>8</v>
      </c>
      <c r="D20" s="40" t="s">
        <v>6</v>
      </c>
      <c r="E20" s="40" t="s">
        <v>7</v>
      </c>
      <c r="F20" s="40">
        <v>2820</v>
      </c>
      <c r="G20" s="40">
        <v>2</v>
      </c>
      <c r="H20" s="6">
        <f t="shared" si="0"/>
        <v>16</v>
      </c>
      <c r="I20" s="6">
        <f t="shared" si="1"/>
        <v>0.88592912831232162</v>
      </c>
    </row>
    <row r="21" spans="2:9" x14ac:dyDescent="0.25">
      <c r="B21" s="6" t="s">
        <v>59</v>
      </c>
      <c r="C21" s="40">
        <v>8</v>
      </c>
      <c r="D21" s="40" t="s">
        <v>6</v>
      </c>
      <c r="E21" s="40" t="s">
        <v>7</v>
      </c>
      <c r="F21" s="40">
        <v>4490</v>
      </c>
      <c r="G21" s="40">
        <v>4</v>
      </c>
      <c r="H21" s="6">
        <f t="shared" si="0"/>
        <v>32</v>
      </c>
      <c r="I21" s="6">
        <f t="shared" si="1"/>
        <v>1.4105751014618171</v>
      </c>
    </row>
    <row r="22" spans="2:9" x14ac:dyDescent="0.25">
      <c r="B22" s="6" t="s">
        <v>59</v>
      </c>
      <c r="C22" s="40">
        <v>2</v>
      </c>
      <c r="D22" s="40" t="s">
        <v>6</v>
      </c>
      <c r="E22" s="40" t="s">
        <v>7</v>
      </c>
      <c r="F22" s="40">
        <v>4590</v>
      </c>
      <c r="G22" s="40">
        <v>4</v>
      </c>
      <c r="H22" s="6">
        <f t="shared" si="0"/>
        <v>8</v>
      </c>
      <c r="I22" s="6">
        <f t="shared" si="1"/>
        <v>0.36049775699942876</v>
      </c>
    </row>
    <row r="23" spans="2:9" x14ac:dyDescent="0.25">
      <c r="B23" s="6" t="s">
        <v>59</v>
      </c>
      <c r="C23" s="40">
        <v>2</v>
      </c>
      <c r="D23" s="40" t="s">
        <v>6</v>
      </c>
      <c r="E23" s="40" t="s">
        <v>7</v>
      </c>
      <c r="F23" s="40">
        <v>4600</v>
      </c>
      <c r="G23" s="40">
        <v>4</v>
      </c>
      <c r="H23" s="6">
        <f t="shared" si="0"/>
        <v>8</v>
      </c>
      <c r="I23" s="6">
        <f t="shared" si="1"/>
        <v>0.36128315516282616</v>
      </c>
    </row>
    <row r="24" spans="2:9" x14ac:dyDescent="0.25">
      <c r="B24" s="6" t="s">
        <v>68</v>
      </c>
      <c r="C24" s="39">
        <v>25</v>
      </c>
      <c r="D24" s="39" t="s">
        <v>8</v>
      </c>
      <c r="E24" s="39" t="s">
        <v>7</v>
      </c>
      <c r="F24" s="39">
        <v>850</v>
      </c>
      <c r="G24" s="39">
        <v>2</v>
      </c>
      <c r="H24" s="6">
        <f t="shared" si="0"/>
        <v>50</v>
      </c>
      <c r="I24" s="6">
        <f>(0.044+0.044+0.003+0.003+0.041+0.041)*(F24/1000)*C24</f>
        <v>3.74</v>
      </c>
    </row>
    <row r="25" spans="2:9" x14ac:dyDescent="0.25">
      <c r="B25" s="6" t="s">
        <v>68</v>
      </c>
      <c r="C25" s="39">
        <v>32</v>
      </c>
      <c r="D25" s="39" t="s">
        <v>8</v>
      </c>
      <c r="E25" s="39" t="s">
        <v>7</v>
      </c>
      <c r="F25" s="39">
        <v>1010</v>
      </c>
      <c r="G25" s="39">
        <v>2</v>
      </c>
      <c r="H25" s="6">
        <f t="shared" si="0"/>
        <v>64</v>
      </c>
      <c r="I25" s="6">
        <f>(0.044+0.044+0.003+0.003+0.041+0.041)*(F25/1000)*C25</f>
        <v>5.6883200000000009</v>
      </c>
    </row>
    <row r="26" spans="2:9" x14ac:dyDescent="0.25">
      <c r="B26" s="6" t="s">
        <v>68</v>
      </c>
      <c r="C26" s="39">
        <v>32</v>
      </c>
      <c r="D26" s="39" t="s">
        <v>8</v>
      </c>
      <c r="E26" s="39" t="s">
        <v>7</v>
      </c>
      <c r="F26" s="39">
        <v>1170</v>
      </c>
      <c r="G26" s="39">
        <v>2</v>
      </c>
      <c r="H26" s="6">
        <f t="shared" si="0"/>
        <v>64</v>
      </c>
      <c r="I26" s="6">
        <f>(0.044+0.044+0.003+0.003+0.041+0.041)*(F26/1000)*C26</f>
        <v>6.5894400000000006</v>
      </c>
    </row>
    <row r="27" spans="2:9" x14ac:dyDescent="0.25">
      <c r="B27" s="6" t="s">
        <v>60</v>
      </c>
      <c r="C27" s="53">
        <v>16</v>
      </c>
      <c r="D27" s="53" t="s">
        <v>9</v>
      </c>
      <c r="E27" s="53" t="s">
        <v>7</v>
      </c>
      <c r="F27" s="53">
        <v>600</v>
      </c>
      <c r="G27" s="53">
        <v>2</v>
      </c>
      <c r="H27" s="6">
        <f t="shared" si="0"/>
        <v>32</v>
      </c>
      <c r="I27" s="6">
        <f t="shared" ref="I27:I39" si="2">(0.137+0.05+0.05+0.002+0.002+0.048+0.048+0.132)*(F27/1000)*C27</f>
        <v>4.5023999999999997</v>
      </c>
    </row>
    <row r="28" spans="2:9" x14ac:dyDescent="0.25">
      <c r="B28" s="6" t="s">
        <v>60</v>
      </c>
      <c r="C28" s="53">
        <v>16</v>
      </c>
      <c r="D28" s="53" t="s">
        <v>9</v>
      </c>
      <c r="E28" s="53" t="s">
        <v>7</v>
      </c>
      <c r="F28" s="53">
        <v>660</v>
      </c>
      <c r="G28" s="53">
        <v>2</v>
      </c>
      <c r="H28" s="6">
        <f t="shared" si="0"/>
        <v>32</v>
      </c>
      <c r="I28" s="6">
        <f t="shared" si="2"/>
        <v>4.9526399999999997</v>
      </c>
    </row>
    <row r="29" spans="2:9" x14ac:dyDescent="0.25">
      <c r="B29" s="6" t="s">
        <v>60</v>
      </c>
      <c r="C29" s="53">
        <v>18</v>
      </c>
      <c r="D29" s="53" t="s">
        <v>9</v>
      </c>
      <c r="E29" s="53" t="s">
        <v>7</v>
      </c>
      <c r="F29" s="53">
        <v>720</v>
      </c>
      <c r="G29" s="53">
        <v>3</v>
      </c>
      <c r="H29" s="6">
        <f t="shared" si="0"/>
        <v>54</v>
      </c>
      <c r="I29" s="6">
        <f t="shared" si="2"/>
        <v>6.0782399999999992</v>
      </c>
    </row>
    <row r="30" spans="2:9" x14ac:dyDescent="0.25">
      <c r="B30" s="6" t="s">
        <v>60</v>
      </c>
      <c r="C30" s="53">
        <v>18</v>
      </c>
      <c r="D30" s="53" t="s">
        <v>9</v>
      </c>
      <c r="E30" s="53" t="s">
        <v>7</v>
      </c>
      <c r="F30" s="53">
        <v>770</v>
      </c>
      <c r="G30" s="53">
        <v>3</v>
      </c>
      <c r="H30" s="6">
        <f t="shared" si="0"/>
        <v>54</v>
      </c>
      <c r="I30" s="6">
        <f t="shared" si="2"/>
        <v>6.5003400000000005</v>
      </c>
    </row>
    <row r="31" spans="2:9" x14ac:dyDescent="0.25">
      <c r="B31" s="6" t="s">
        <v>60</v>
      </c>
      <c r="C31" s="53">
        <v>7</v>
      </c>
      <c r="D31" s="53" t="s">
        <v>9</v>
      </c>
      <c r="E31" s="53" t="s">
        <v>7</v>
      </c>
      <c r="F31" s="53">
        <v>840</v>
      </c>
      <c r="G31" s="53">
        <v>3</v>
      </c>
      <c r="H31" s="6">
        <f t="shared" si="0"/>
        <v>21</v>
      </c>
      <c r="I31" s="6">
        <f t="shared" si="2"/>
        <v>2.7577199999999999</v>
      </c>
    </row>
    <row r="32" spans="2:9" x14ac:dyDescent="0.25">
      <c r="B32" s="6" t="s">
        <v>60</v>
      </c>
      <c r="C32" s="53">
        <v>11</v>
      </c>
      <c r="D32" s="53" t="s">
        <v>9</v>
      </c>
      <c r="E32" s="53" t="s">
        <v>7</v>
      </c>
      <c r="F32" s="53">
        <v>850</v>
      </c>
      <c r="G32" s="53">
        <v>3</v>
      </c>
      <c r="H32" s="6">
        <f t="shared" si="0"/>
        <v>33</v>
      </c>
      <c r="I32" s="6">
        <f t="shared" si="2"/>
        <v>4.3851499999999994</v>
      </c>
    </row>
    <row r="33" spans="2:9" x14ac:dyDescent="0.25">
      <c r="B33" s="6" t="s">
        <v>60</v>
      </c>
      <c r="C33" s="53">
        <v>7</v>
      </c>
      <c r="D33" s="53" t="s">
        <v>9</v>
      </c>
      <c r="E33" s="53" t="s">
        <v>7</v>
      </c>
      <c r="F33" s="53">
        <v>860</v>
      </c>
      <c r="G33" s="53">
        <v>3</v>
      </c>
      <c r="H33" s="6">
        <f t="shared" si="0"/>
        <v>21</v>
      </c>
      <c r="I33" s="6">
        <f t="shared" si="2"/>
        <v>2.8233799999999998</v>
      </c>
    </row>
    <row r="34" spans="2:9" x14ac:dyDescent="0.25">
      <c r="B34" s="6" t="s">
        <v>60</v>
      </c>
      <c r="C34" s="53">
        <v>9</v>
      </c>
      <c r="D34" s="53" t="s">
        <v>9</v>
      </c>
      <c r="E34" s="53" t="s">
        <v>7</v>
      </c>
      <c r="F34" s="53">
        <v>870</v>
      </c>
      <c r="G34" s="53">
        <v>3</v>
      </c>
      <c r="H34" s="6">
        <f t="shared" si="0"/>
        <v>27</v>
      </c>
      <c r="I34" s="6">
        <f t="shared" si="2"/>
        <v>3.6722699999999997</v>
      </c>
    </row>
    <row r="35" spans="2:9" x14ac:dyDescent="0.25">
      <c r="B35" s="6" t="s">
        <v>60</v>
      </c>
      <c r="C35" s="53">
        <v>9</v>
      </c>
      <c r="D35" s="53" t="s">
        <v>9</v>
      </c>
      <c r="E35" s="53" t="s">
        <v>7</v>
      </c>
      <c r="F35" s="53">
        <v>880</v>
      </c>
      <c r="G35" s="53">
        <v>3</v>
      </c>
      <c r="H35" s="6">
        <f t="shared" si="0"/>
        <v>27</v>
      </c>
      <c r="I35" s="6">
        <f t="shared" si="2"/>
        <v>3.71448</v>
      </c>
    </row>
    <row r="36" spans="2:9" x14ac:dyDescent="0.25">
      <c r="B36" s="6" t="s">
        <v>60</v>
      </c>
      <c r="C36" s="53">
        <v>2</v>
      </c>
      <c r="D36" s="53" t="s">
        <v>9</v>
      </c>
      <c r="E36" s="53" t="s">
        <v>7</v>
      </c>
      <c r="F36" s="53">
        <v>900</v>
      </c>
      <c r="G36" s="53">
        <v>3</v>
      </c>
      <c r="H36" s="6">
        <f t="shared" si="0"/>
        <v>6</v>
      </c>
      <c r="I36" s="6">
        <f t="shared" si="2"/>
        <v>0.84419999999999995</v>
      </c>
    </row>
    <row r="37" spans="2:9" x14ac:dyDescent="0.25">
      <c r="B37" s="6" t="s">
        <v>60</v>
      </c>
      <c r="C37" s="53">
        <v>16</v>
      </c>
      <c r="D37" s="53" t="s">
        <v>9</v>
      </c>
      <c r="E37" s="53" t="s">
        <v>7</v>
      </c>
      <c r="F37" s="53">
        <v>1040</v>
      </c>
      <c r="G37" s="53">
        <v>4</v>
      </c>
      <c r="H37" s="6">
        <f t="shared" si="0"/>
        <v>64</v>
      </c>
      <c r="I37" s="6">
        <f t="shared" si="2"/>
        <v>7.8041599999999995</v>
      </c>
    </row>
    <row r="38" spans="2:9" x14ac:dyDescent="0.25">
      <c r="B38" s="6" t="s">
        <v>60</v>
      </c>
      <c r="C38" s="53">
        <v>34</v>
      </c>
      <c r="D38" s="53" t="s">
        <v>9</v>
      </c>
      <c r="E38" s="53" t="s">
        <v>7</v>
      </c>
      <c r="F38" s="53">
        <v>1110</v>
      </c>
      <c r="G38" s="53">
        <v>4</v>
      </c>
      <c r="H38" s="6">
        <f t="shared" si="0"/>
        <v>136</v>
      </c>
      <c r="I38" s="6">
        <f t="shared" si="2"/>
        <v>17.700060000000001</v>
      </c>
    </row>
    <row r="39" spans="2:9" x14ac:dyDescent="0.25">
      <c r="B39" s="6" t="s">
        <v>60</v>
      </c>
      <c r="C39" s="53">
        <v>18</v>
      </c>
      <c r="D39" s="53" t="s">
        <v>9</v>
      </c>
      <c r="E39" s="53" t="s">
        <v>7</v>
      </c>
      <c r="F39" s="53">
        <v>1180</v>
      </c>
      <c r="G39" s="53">
        <v>4</v>
      </c>
      <c r="H39" s="6">
        <f t="shared" si="0"/>
        <v>72</v>
      </c>
      <c r="I39" s="6">
        <f t="shared" si="2"/>
        <v>9.9615599999999986</v>
      </c>
    </row>
    <row r="40" spans="2:9" x14ac:dyDescent="0.25">
      <c r="B40" s="6" t="s">
        <v>60</v>
      </c>
      <c r="C40" s="53">
        <v>2</v>
      </c>
      <c r="D40" s="53" t="s">
        <v>10</v>
      </c>
      <c r="E40" s="53" t="s">
        <v>7</v>
      </c>
      <c r="F40" s="53">
        <v>2550</v>
      </c>
      <c r="G40" s="53">
        <v>27</v>
      </c>
      <c r="H40" s="6">
        <f t="shared" si="0"/>
        <v>54</v>
      </c>
      <c r="I40" s="6">
        <f>(0.15+0.07+0.07+0.00475+0.00475+0.06525+0.06525+0.1405)*(F40/1000)*C40</f>
        <v>2.9095499999999999</v>
      </c>
    </row>
    <row r="41" spans="2:9" x14ac:dyDescent="0.25">
      <c r="B41" s="6" t="s">
        <v>60</v>
      </c>
      <c r="C41" s="53">
        <v>9</v>
      </c>
      <c r="D41" s="53" t="s">
        <v>10</v>
      </c>
      <c r="E41" s="53" t="s">
        <v>7</v>
      </c>
      <c r="F41" s="53">
        <v>4530</v>
      </c>
      <c r="G41" s="53">
        <v>47</v>
      </c>
      <c r="H41" s="6">
        <f t="shared" si="0"/>
        <v>423</v>
      </c>
      <c r="I41" s="6">
        <f>(0.15+0.07+0.07+0.00475+0.00475+0.06525+0.06525+0.1405)*(F41/1000)*C41</f>
        <v>23.259284999999998</v>
      </c>
    </row>
    <row r="42" spans="2:9" x14ac:dyDescent="0.25">
      <c r="B42" s="6" t="s">
        <v>60</v>
      </c>
      <c r="C42" s="53">
        <v>7</v>
      </c>
      <c r="D42" s="53" t="s">
        <v>10</v>
      </c>
      <c r="E42" s="53" t="s">
        <v>7</v>
      </c>
      <c r="F42" s="53">
        <v>4550</v>
      </c>
      <c r="G42" s="53">
        <v>48</v>
      </c>
      <c r="H42" s="6">
        <f t="shared" si="0"/>
        <v>336</v>
      </c>
      <c r="I42" s="6">
        <f>(0.15+0.07+0.07+0.00475+0.00475+0.06525+0.06525+0.1405)*(F42/1000)*C42</f>
        <v>18.170424999999998</v>
      </c>
    </row>
    <row r="43" spans="2:9" x14ac:dyDescent="0.25">
      <c r="B43" s="6" t="s">
        <v>60</v>
      </c>
      <c r="C43" s="53">
        <v>2</v>
      </c>
      <c r="D43" s="53" t="s">
        <v>17</v>
      </c>
      <c r="E43" s="53" t="s">
        <v>7</v>
      </c>
      <c r="F43" s="53">
        <v>7230</v>
      </c>
      <c r="G43" s="53">
        <v>100</v>
      </c>
      <c r="H43" s="6">
        <f t="shared" si="0"/>
        <v>200</v>
      </c>
      <c r="I43" s="6">
        <f>(0.15+0.07+0.07+0.00635+0.00635+0.06365+0.06365+0.1373)*(F43/1000)*C43</f>
        <v>8.2031580000000002</v>
      </c>
    </row>
    <row r="44" spans="2:9" x14ac:dyDescent="0.25">
      <c r="B44" s="6" t="s">
        <v>60</v>
      </c>
      <c r="C44" s="53">
        <v>7</v>
      </c>
      <c r="D44" s="53" t="s">
        <v>17</v>
      </c>
      <c r="E44" s="53" t="s">
        <v>7</v>
      </c>
      <c r="F44" s="53">
        <v>9060</v>
      </c>
      <c r="G44" s="53">
        <v>125</v>
      </c>
      <c r="H44" s="6">
        <f t="shared" si="0"/>
        <v>875</v>
      </c>
      <c r="I44" s="6">
        <f>(0.15+0.07+0.07+0.00635+0.00635+0.06365+0.06365+0.1373)*(F44/1000)*C44</f>
        <v>35.978166000000002</v>
      </c>
    </row>
    <row r="45" spans="2:9" x14ac:dyDescent="0.25">
      <c r="B45" s="6" t="s">
        <v>51</v>
      </c>
      <c r="C45" s="41">
        <v>1</v>
      </c>
      <c r="D45" s="41" t="s">
        <v>12</v>
      </c>
      <c r="E45" s="41" t="s">
        <v>7</v>
      </c>
      <c r="F45" s="41">
        <v>3380</v>
      </c>
      <c r="G45" s="41">
        <v>18</v>
      </c>
      <c r="H45" s="6">
        <f t="shared" si="0"/>
        <v>18</v>
      </c>
      <c r="I45" s="6">
        <f t="shared" ref="I45:I60" si="3">(0.127+0.05+0.017+0.05+0.017+0.00265+0.00265+0.0447+0.0447+0.01435+0.01435+0.1217)*(F45/1000)*C45</f>
        <v>1.710618</v>
      </c>
    </row>
    <row r="46" spans="2:9" x14ac:dyDescent="0.25">
      <c r="B46" s="6" t="s">
        <v>51</v>
      </c>
      <c r="C46" s="41">
        <v>6</v>
      </c>
      <c r="D46" s="41" t="s">
        <v>12</v>
      </c>
      <c r="E46" s="41" t="s">
        <v>7</v>
      </c>
      <c r="F46" s="41">
        <v>3450</v>
      </c>
      <c r="G46" s="41">
        <v>18</v>
      </c>
      <c r="H46" s="6">
        <f t="shared" si="0"/>
        <v>108</v>
      </c>
      <c r="I46" s="6">
        <f t="shared" si="3"/>
        <v>10.47627</v>
      </c>
    </row>
    <row r="47" spans="2:9" x14ac:dyDescent="0.25">
      <c r="B47" s="6" t="s">
        <v>51</v>
      </c>
      <c r="C47" s="41">
        <v>1</v>
      </c>
      <c r="D47" s="41" t="s">
        <v>12</v>
      </c>
      <c r="E47" s="41" t="s">
        <v>7</v>
      </c>
      <c r="F47" s="41">
        <v>3460</v>
      </c>
      <c r="G47" s="41">
        <v>18</v>
      </c>
      <c r="H47" s="6">
        <f t="shared" si="0"/>
        <v>18</v>
      </c>
      <c r="I47" s="6">
        <f t="shared" si="3"/>
        <v>1.7511060000000001</v>
      </c>
    </row>
    <row r="48" spans="2:9" x14ac:dyDescent="0.25">
      <c r="B48" s="6" t="s">
        <v>51</v>
      </c>
      <c r="C48" s="41">
        <v>1</v>
      </c>
      <c r="D48" s="41" t="s">
        <v>12</v>
      </c>
      <c r="E48" s="41" t="s">
        <v>7</v>
      </c>
      <c r="F48" s="41">
        <v>3550</v>
      </c>
      <c r="G48" s="41">
        <v>18</v>
      </c>
      <c r="H48" s="6">
        <f t="shared" si="0"/>
        <v>18</v>
      </c>
      <c r="I48" s="6">
        <f t="shared" si="3"/>
        <v>1.7966549999999999</v>
      </c>
    </row>
    <row r="49" spans="2:9" x14ac:dyDescent="0.25">
      <c r="B49" s="6" t="s">
        <v>51</v>
      </c>
      <c r="C49" s="41">
        <v>6</v>
      </c>
      <c r="D49" s="41" t="s">
        <v>12</v>
      </c>
      <c r="E49" s="41" t="s">
        <v>7</v>
      </c>
      <c r="F49" s="41">
        <v>3710</v>
      </c>
      <c r="G49" s="41">
        <v>19</v>
      </c>
      <c r="H49" s="6">
        <f t="shared" si="0"/>
        <v>114</v>
      </c>
      <c r="I49" s="6">
        <f t="shared" si="3"/>
        <v>11.265786</v>
      </c>
    </row>
    <row r="50" spans="2:9" x14ac:dyDescent="0.25">
      <c r="B50" s="6" t="s">
        <v>51</v>
      </c>
      <c r="C50" s="41">
        <v>8</v>
      </c>
      <c r="D50" s="41" t="s">
        <v>12</v>
      </c>
      <c r="E50" s="41" t="s">
        <v>7</v>
      </c>
      <c r="F50" s="41">
        <v>3730</v>
      </c>
      <c r="G50" s="41">
        <v>19</v>
      </c>
      <c r="H50" s="6">
        <f t="shared" si="0"/>
        <v>152</v>
      </c>
      <c r="I50" s="6">
        <f t="shared" si="3"/>
        <v>15.102024</v>
      </c>
    </row>
    <row r="51" spans="2:9" x14ac:dyDescent="0.25">
      <c r="B51" s="6" t="s">
        <v>51</v>
      </c>
      <c r="C51" s="41">
        <v>1</v>
      </c>
      <c r="D51" s="41" t="s">
        <v>12</v>
      </c>
      <c r="E51" s="41" t="s">
        <v>7</v>
      </c>
      <c r="F51" s="41">
        <v>3800</v>
      </c>
      <c r="G51" s="41">
        <v>20</v>
      </c>
      <c r="H51" s="6">
        <f t="shared" si="0"/>
        <v>20</v>
      </c>
      <c r="I51" s="6">
        <f t="shared" si="3"/>
        <v>1.9231799999999999</v>
      </c>
    </row>
    <row r="52" spans="2:9" x14ac:dyDescent="0.25">
      <c r="B52" s="6" t="s">
        <v>51</v>
      </c>
      <c r="C52" s="41">
        <v>12</v>
      </c>
      <c r="D52" s="41" t="s">
        <v>12</v>
      </c>
      <c r="E52" s="41" t="s">
        <v>7</v>
      </c>
      <c r="F52" s="41">
        <v>3840</v>
      </c>
      <c r="G52" s="41">
        <v>20</v>
      </c>
      <c r="H52" s="6">
        <f t="shared" si="0"/>
        <v>240</v>
      </c>
      <c r="I52" s="6">
        <f t="shared" si="3"/>
        <v>23.321087999999996</v>
      </c>
    </row>
    <row r="53" spans="2:9" x14ac:dyDescent="0.25">
      <c r="B53" s="6" t="s">
        <v>51</v>
      </c>
      <c r="C53" s="41">
        <v>2</v>
      </c>
      <c r="D53" s="41" t="s">
        <v>12</v>
      </c>
      <c r="E53" s="41" t="s">
        <v>7</v>
      </c>
      <c r="F53" s="41">
        <v>3920</v>
      </c>
      <c r="G53" s="41">
        <v>20</v>
      </c>
      <c r="H53" s="6">
        <f t="shared" si="0"/>
        <v>40</v>
      </c>
      <c r="I53" s="6">
        <f t="shared" si="3"/>
        <v>3.9678239999999998</v>
      </c>
    </row>
    <row r="54" spans="2:9" x14ac:dyDescent="0.25">
      <c r="B54" s="6" t="s">
        <v>51</v>
      </c>
      <c r="C54" s="41">
        <v>7</v>
      </c>
      <c r="D54" s="41" t="s">
        <v>12</v>
      </c>
      <c r="E54" s="41" t="s">
        <v>7</v>
      </c>
      <c r="F54" s="41">
        <v>4000</v>
      </c>
      <c r="G54" s="41">
        <v>21</v>
      </c>
      <c r="H54" s="6">
        <f t="shared" si="0"/>
        <v>147</v>
      </c>
      <c r="I54" s="6">
        <f t="shared" si="3"/>
        <v>14.1708</v>
      </c>
    </row>
    <row r="55" spans="2:9" x14ac:dyDescent="0.25">
      <c r="B55" s="6" t="s">
        <v>51</v>
      </c>
      <c r="C55" s="41">
        <v>1</v>
      </c>
      <c r="D55" s="41" t="s">
        <v>12</v>
      </c>
      <c r="E55" s="41" t="s">
        <v>7</v>
      </c>
      <c r="F55" s="41">
        <v>4010</v>
      </c>
      <c r="G55" s="41">
        <v>21</v>
      </c>
      <c r="H55" s="6">
        <f t="shared" si="0"/>
        <v>21</v>
      </c>
      <c r="I55" s="6">
        <f t="shared" si="3"/>
        <v>2.029461</v>
      </c>
    </row>
    <row r="56" spans="2:9" x14ac:dyDescent="0.25">
      <c r="B56" s="6" t="s">
        <v>51</v>
      </c>
      <c r="C56" s="41">
        <v>12</v>
      </c>
      <c r="D56" s="41" t="s">
        <v>12</v>
      </c>
      <c r="E56" s="41" t="s">
        <v>7</v>
      </c>
      <c r="F56" s="41">
        <v>4550</v>
      </c>
      <c r="G56" s="41">
        <v>24</v>
      </c>
      <c r="H56" s="6">
        <f t="shared" si="0"/>
        <v>288</v>
      </c>
      <c r="I56" s="6">
        <f t="shared" si="3"/>
        <v>27.63306</v>
      </c>
    </row>
    <row r="57" spans="2:9" x14ac:dyDescent="0.25">
      <c r="B57" s="6" t="s">
        <v>51</v>
      </c>
      <c r="C57" s="41">
        <v>1</v>
      </c>
      <c r="D57" s="41" t="s">
        <v>12</v>
      </c>
      <c r="E57" s="41" t="s">
        <v>7</v>
      </c>
      <c r="F57" s="41">
        <v>4620</v>
      </c>
      <c r="G57" s="41">
        <v>24</v>
      </c>
      <c r="H57" s="6">
        <f t="shared" si="0"/>
        <v>24</v>
      </c>
      <c r="I57" s="6">
        <f t="shared" si="3"/>
        <v>2.3381820000000002</v>
      </c>
    </row>
    <row r="58" spans="2:9" x14ac:dyDescent="0.25">
      <c r="B58" s="6" t="s">
        <v>51</v>
      </c>
      <c r="C58" s="41">
        <v>1</v>
      </c>
      <c r="D58" s="41" t="s">
        <v>12</v>
      </c>
      <c r="E58" s="41" t="s">
        <v>7</v>
      </c>
      <c r="F58" s="41">
        <v>4630</v>
      </c>
      <c r="G58" s="41">
        <v>24</v>
      </c>
      <c r="H58" s="6">
        <f t="shared" si="0"/>
        <v>24</v>
      </c>
      <c r="I58" s="6">
        <f t="shared" si="3"/>
        <v>2.3432429999999997</v>
      </c>
    </row>
    <row r="59" spans="2:9" x14ac:dyDescent="0.25">
      <c r="B59" s="6" t="s">
        <v>51</v>
      </c>
      <c r="C59" s="41">
        <v>2</v>
      </c>
      <c r="D59" s="41" t="s">
        <v>12</v>
      </c>
      <c r="E59" s="41" t="s">
        <v>7</v>
      </c>
      <c r="F59" s="41">
        <v>16130</v>
      </c>
      <c r="G59" s="41">
        <v>84</v>
      </c>
      <c r="H59" s="6">
        <f t="shared" si="0"/>
        <v>168</v>
      </c>
      <c r="I59" s="6">
        <f t="shared" si="3"/>
        <v>16.326785999999998</v>
      </c>
    </row>
    <row r="60" spans="2:9" x14ac:dyDescent="0.25">
      <c r="B60" s="6" t="s">
        <v>51</v>
      </c>
      <c r="C60" s="41">
        <v>2</v>
      </c>
      <c r="D60" s="41" t="s">
        <v>12</v>
      </c>
      <c r="E60" s="41" t="s">
        <v>7</v>
      </c>
      <c r="F60" s="41">
        <v>16150</v>
      </c>
      <c r="G60" s="41">
        <v>84</v>
      </c>
      <c r="H60" s="6">
        <f t="shared" si="0"/>
        <v>168</v>
      </c>
      <c r="I60" s="6">
        <f t="shared" si="3"/>
        <v>16.347029999999997</v>
      </c>
    </row>
    <row r="61" spans="2:9" x14ac:dyDescent="0.25">
      <c r="B61" s="6" t="s">
        <v>60</v>
      </c>
      <c r="C61" s="53">
        <v>32</v>
      </c>
      <c r="D61" s="53" t="s">
        <v>13</v>
      </c>
      <c r="E61" s="53" t="s">
        <v>7</v>
      </c>
      <c r="F61" s="53">
        <v>160</v>
      </c>
      <c r="G61" s="53">
        <v>1</v>
      </c>
      <c r="H61" s="6">
        <f t="shared" si="0"/>
        <v>32</v>
      </c>
      <c r="I61" s="6">
        <f t="shared" ref="I61:I67" si="4">(0.15+0.06+0.02+0.06+0.02+0.00304+0.00304+0.05392+0.05392+0.01696+0.01696+0.14392)*(F61/1000)*C61</f>
        <v>3.0810111999999998</v>
      </c>
    </row>
    <row r="62" spans="2:9" x14ac:dyDescent="0.25">
      <c r="B62" s="6" t="s">
        <v>60</v>
      </c>
      <c r="C62" s="53">
        <v>4</v>
      </c>
      <c r="D62" s="53" t="s">
        <v>13</v>
      </c>
      <c r="E62" s="53" t="s">
        <v>7</v>
      </c>
      <c r="F62" s="53">
        <v>370</v>
      </c>
      <c r="G62" s="53">
        <v>3</v>
      </c>
      <c r="H62" s="6">
        <f t="shared" si="0"/>
        <v>12</v>
      </c>
      <c r="I62" s="6">
        <f t="shared" si="4"/>
        <v>0.89060479999999997</v>
      </c>
    </row>
    <row r="63" spans="2:9" x14ac:dyDescent="0.25">
      <c r="B63" s="6" t="s">
        <v>60</v>
      </c>
      <c r="C63" s="53">
        <v>72</v>
      </c>
      <c r="D63" s="53" t="s">
        <v>13</v>
      </c>
      <c r="E63" s="53" t="s">
        <v>7</v>
      </c>
      <c r="F63" s="53">
        <v>550</v>
      </c>
      <c r="G63" s="53">
        <v>4</v>
      </c>
      <c r="H63" s="6">
        <f t="shared" si="0"/>
        <v>288</v>
      </c>
      <c r="I63" s="6">
        <f t="shared" si="4"/>
        <v>23.829695999999998</v>
      </c>
    </row>
    <row r="64" spans="2:9" x14ac:dyDescent="0.25">
      <c r="B64" s="6" t="s">
        <v>60</v>
      </c>
      <c r="C64" s="53">
        <v>7</v>
      </c>
      <c r="D64" s="53" t="s">
        <v>13</v>
      </c>
      <c r="E64" s="53" t="s">
        <v>7</v>
      </c>
      <c r="F64" s="53">
        <v>590</v>
      </c>
      <c r="G64" s="53">
        <v>4</v>
      </c>
      <c r="H64" s="6">
        <f t="shared" si="0"/>
        <v>28</v>
      </c>
      <c r="I64" s="6">
        <f t="shared" si="4"/>
        <v>2.4852688000000001</v>
      </c>
    </row>
    <row r="65" spans="2:9" x14ac:dyDescent="0.25">
      <c r="B65" s="6" t="s">
        <v>60</v>
      </c>
      <c r="C65" s="53">
        <v>25</v>
      </c>
      <c r="D65" s="53" t="s">
        <v>13</v>
      </c>
      <c r="E65" s="53" t="s">
        <v>7</v>
      </c>
      <c r="F65" s="53">
        <v>600</v>
      </c>
      <c r="G65" s="53">
        <v>4</v>
      </c>
      <c r="H65" s="6">
        <f t="shared" si="0"/>
        <v>100</v>
      </c>
      <c r="I65" s="6">
        <f t="shared" si="4"/>
        <v>9.0263999999999989</v>
      </c>
    </row>
    <row r="66" spans="2:9" x14ac:dyDescent="0.25">
      <c r="B66" s="6" t="s">
        <v>60</v>
      </c>
      <c r="C66" s="53">
        <v>2</v>
      </c>
      <c r="D66" s="53" t="s">
        <v>13</v>
      </c>
      <c r="E66" s="53" t="s">
        <v>7</v>
      </c>
      <c r="F66" s="53">
        <v>710</v>
      </c>
      <c r="G66" s="53">
        <v>5</v>
      </c>
      <c r="H66" s="6">
        <f t="shared" si="0"/>
        <v>10</v>
      </c>
      <c r="I66" s="6">
        <f t="shared" si="4"/>
        <v>0.8544991999999999</v>
      </c>
    </row>
    <row r="67" spans="2:9" x14ac:dyDescent="0.25">
      <c r="B67" s="6" t="s">
        <v>60</v>
      </c>
      <c r="C67" s="53">
        <v>2</v>
      </c>
      <c r="D67" s="53" t="s">
        <v>13</v>
      </c>
      <c r="E67" s="53" t="s">
        <v>7</v>
      </c>
      <c r="F67" s="53">
        <v>720</v>
      </c>
      <c r="G67" s="53">
        <v>5</v>
      </c>
      <c r="H67" s="6">
        <f t="shared" si="0"/>
        <v>10</v>
      </c>
      <c r="I67" s="6">
        <f t="shared" si="4"/>
        <v>0.86653439999999993</v>
      </c>
    </row>
    <row r="68" spans="2:9" x14ac:dyDescent="0.25">
      <c r="B68" s="6" t="s">
        <v>50</v>
      </c>
      <c r="C68" s="44">
        <v>14</v>
      </c>
      <c r="D68" s="44" t="s">
        <v>14</v>
      </c>
      <c r="E68" s="44" t="s">
        <v>7</v>
      </c>
      <c r="F68" s="44">
        <v>200</v>
      </c>
      <c r="G68" s="44">
        <v>1</v>
      </c>
      <c r="H68" s="6">
        <f t="shared" si="0"/>
        <v>14</v>
      </c>
      <c r="I68" s="6">
        <f t="shared" ref="I68:I76" si="5">(0.15+0.075+0.02+0.075+0.02+0.002+0.002+0.071+0.071+0.018+0.018+0.146)*(F68/1000)*C68</f>
        <v>1.8704000000000003</v>
      </c>
    </row>
    <row r="69" spans="2:9" x14ac:dyDescent="0.25">
      <c r="B69" s="6" t="s">
        <v>49</v>
      </c>
      <c r="C69" s="42">
        <v>14</v>
      </c>
      <c r="D69" s="42" t="s">
        <v>14</v>
      </c>
      <c r="E69" s="42" t="s">
        <v>7</v>
      </c>
      <c r="F69" s="42">
        <v>400</v>
      </c>
      <c r="G69" s="42">
        <v>2</v>
      </c>
      <c r="H69" s="6">
        <f t="shared" si="0"/>
        <v>28</v>
      </c>
      <c r="I69" s="6">
        <f t="shared" si="5"/>
        <v>3.7408000000000006</v>
      </c>
    </row>
    <row r="70" spans="2:9" x14ac:dyDescent="0.25">
      <c r="B70" s="6" t="s">
        <v>50</v>
      </c>
      <c r="C70" s="44">
        <v>7</v>
      </c>
      <c r="D70" s="44" t="s">
        <v>14</v>
      </c>
      <c r="E70" s="44" t="s">
        <v>7</v>
      </c>
      <c r="F70" s="44">
        <v>490</v>
      </c>
      <c r="G70" s="44">
        <v>3</v>
      </c>
      <c r="H70" s="6">
        <f t="shared" si="0"/>
        <v>21</v>
      </c>
      <c r="I70" s="6">
        <f t="shared" si="5"/>
        <v>2.2912400000000002</v>
      </c>
    </row>
    <row r="71" spans="2:9" x14ac:dyDescent="0.25">
      <c r="B71" s="6" t="s">
        <v>50</v>
      </c>
      <c r="C71" s="44">
        <v>7</v>
      </c>
      <c r="D71" s="44" t="s">
        <v>14</v>
      </c>
      <c r="E71" s="44" t="s">
        <v>7</v>
      </c>
      <c r="F71" s="44">
        <v>1500</v>
      </c>
      <c r="G71" s="44">
        <v>8</v>
      </c>
      <c r="H71" s="6">
        <f t="shared" si="0"/>
        <v>56</v>
      </c>
      <c r="I71" s="6">
        <f t="shared" si="5"/>
        <v>7.0140000000000002</v>
      </c>
    </row>
    <row r="72" spans="2:9" x14ac:dyDescent="0.25">
      <c r="B72" s="6" t="s">
        <v>50</v>
      </c>
      <c r="C72" s="44">
        <v>7</v>
      </c>
      <c r="D72" s="44" t="s">
        <v>14</v>
      </c>
      <c r="E72" s="44" t="s">
        <v>7</v>
      </c>
      <c r="F72" s="44">
        <v>1980</v>
      </c>
      <c r="G72" s="44">
        <v>10</v>
      </c>
      <c r="H72" s="6">
        <f t="shared" si="0"/>
        <v>70</v>
      </c>
      <c r="I72" s="6">
        <f t="shared" si="5"/>
        <v>9.2584800000000005</v>
      </c>
    </row>
    <row r="73" spans="2:9" x14ac:dyDescent="0.25">
      <c r="B73" s="6" t="s">
        <v>50</v>
      </c>
      <c r="C73" s="44">
        <v>8</v>
      </c>
      <c r="D73" s="44" t="s">
        <v>14</v>
      </c>
      <c r="E73" s="44" t="s">
        <v>7</v>
      </c>
      <c r="F73" s="44">
        <v>4050</v>
      </c>
      <c r="G73" s="44">
        <v>21</v>
      </c>
      <c r="H73" s="6">
        <f t="shared" si="0"/>
        <v>168</v>
      </c>
      <c r="I73" s="6">
        <f t="shared" si="5"/>
        <v>21.6432</v>
      </c>
    </row>
    <row r="74" spans="2:9" x14ac:dyDescent="0.25">
      <c r="B74" s="6" t="s">
        <v>50</v>
      </c>
      <c r="C74" s="44">
        <v>4</v>
      </c>
      <c r="D74" s="44" t="s">
        <v>14</v>
      </c>
      <c r="E74" s="44" t="s">
        <v>7</v>
      </c>
      <c r="F74" s="44">
        <v>4080</v>
      </c>
      <c r="G74" s="44">
        <v>21</v>
      </c>
      <c r="H74" s="6">
        <f t="shared" si="0"/>
        <v>84</v>
      </c>
      <c r="I74" s="6">
        <f t="shared" si="5"/>
        <v>10.901760000000001</v>
      </c>
    </row>
    <row r="75" spans="2:9" x14ac:dyDescent="0.25">
      <c r="B75" s="6" t="s">
        <v>50</v>
      </c>
      <c r="C75" s="44">
        <v>4</v>
      </c>
      <c r="D75" s="44" t="s">
        <v>14</v>
      </c>
      <c r="E75" s="44" t="s">
        <v>7</v>
      </c>
      <c r="F75" s="44">
        <v>4100</v>
      </c>
      <c r="G75" s="44">
        <v>21</v>
      </c>
      <c r="H75" s="6">
        <f t="shared" si="0"/>
        <v>84</v>
      </c>
      <c r="I75" s="6">
        <f t="shared" si="5"/>
        <v>10.9552</v>
      </c>
    </row>
    <row r="76" spans="2:9" x14ac:dyDescent="0.25">
      <c r="B76" s="6" t="s">
        <v>50</v>
      </c>
      <c r="C76" s="44">
        <v>8</v>
      </c>
      <c r="D76" s="44" t="s">
        <v>14</v>
      </c>
      <c r="E76" s="44" t="s">
        <v>7</v>
      </c>
      <c r="F76" s="44">
        <v>8000</v>
      </c>
      <c r="G76" s="44">
        <v>42</v>
      </c>
      <c r="H76" s="6">
        <f t="shared" si="0"/>
        <v>336</v>
      </c>
      <c r="I76" s="6">
        <f t="shared" si="5"/>
        <v>42.752000000000002</v>
      </c>
    </row>
    <row r="77" spans="2:9" x14ac:dyDescent="0.25">
      <c r="B77" s="6" t="s">
        <v>49</v>
      </c>
      <c r="C77" s="42">
        <v>14</v>
      </c>
      <c r="D77" s="42" t="s">
        <v>15</v>
      </c>
      <c r="E77" s="42" t="s">
        <v>7</v>
      </c>
      <c r="F77" s="42">
        <v>3050</v>
      </c>
      <c r="G77" s="42">
        <v>24</v>
      </c>
      <c r="H77" s="6">
        <f t="shared" si="0"/>
        <v>336</v>
      </c>
      <c r="I77" s="6">
        <f>(0.15+0.075+0.02+0.075+0.02+0.00304+0.00304+0.06892+0.06892+0.01696+0.01696+0.14392)*(F77/1000)*C77</f>
        <v>28.257151999999998</v>
      </c>
    </row>
    <row r="79" spans="2:9" x14ac:dyDescent="0.25">
      <c r="D79" s="2"/>
      <c r="E79" s="3"/>
      <c r="F79" s="3"/>
      <c r="G79" s="4"/>
      <c r="H79">
        <f>SUM(H14:H77)</f>
        <v>6010</v>
      </c>
      <c r="I79" s="6">
        <f>SUM(I14:I77)</f>
        <v>518.25568343852683</v>
      </c>
    </row>
    <row r="80" spans="2:9" x14ac:dyDescent="0.25">
      <c r="D80" s="6"/>
      <c r="E80" s="6"/>
      <c r="F80" s="6"/>
      <c r="G80" s="6"/>
    </row>
    <row r="81" spans="3:11" x14ac:dyDescent="0.25">
      <c r="D81" s="2" t="s">
        <v>16</v>
      </c>
      <c r="E81" s="3"/>
      <c r="F81" s="3"/>
      <c r="G81" s="4">
        <f>G79+H79</f>
        <v>6010</v>
      </c>
    </row>
    <row r="83" spans="3:11" s="6" customFormat="1" x14ac:dyDescent="0.25">
      <c r="F83" s="6" t="s">
        <v>61</v>
      </c>
      <c r="G83" s="6" t="s">
        <v>62</v>
      </c>
    </row>
    <row r="84" spans="3:11" s="6" customFormat="1" x14ac:dyDescent="0.25">
      <c r="C84" s="6" t="s">
        <v>66</v>
      </c>
      <c r="F84" s="6">
        <f>SUMIF($B$14:$B$77,"CONT",$H$14:$H$77)</f>
        <v>120</v>
      </c>
      <c r="G84" s="6">
        <f>SUMIF($B$14:$B$77,"CONT",$I$14:$I$77)</f>
        <v>5.799380038526758</v>
      </c>
    </row>
    <row r="85" spans="3:11" s="6" customFormat="1" x14ac:dyDescent="0.25">
      <c r="C85" s="6" t="s">
        <v>67</v>
      </c>
      <c r="F85" s="6">
        <f>SUMIF($B$14:$B$77,"CONTC",$H$14:$H$77)</f>
        <v>178</v>
      </c>
      <c r="G85" s="6">
        <f>SUMIF($B$14:$B$77,"CONTC",$I$14:$I$77)</f>
        <v>16.017760000000003</v>
      </c>
    </row>
    <row r="86" spans="3:11" s="6" customFormat="1" x14ac:dyDescent="0.25">
      <c r="C86" s="6" t="s">
        <v>56</v>
      </c>
      <c r="F86" s="6">
        <f>SUMIF($B$14:$B$77,"TRELICA",$H$14:$H$77)</f>
        <v>2947</v>
      </c>
      <c r="G86" s="6">
        <f>SUMIF($B$14:$B$77,"TRELICA",$I$14:$I$77)</f>
        <v>205.25119839999996</v>
      </c>
    </row>
    <row r="87" spans="3:11" s="6" customFormat="1" x14ac:dyDescent="0.25">
      <c r="C87" s="6" t="s">
        <v>49</v>
      </c>
      <c r="F87" s="6">
        <f>SUMIF($B$14:$B$77,"PILAR",$H$14:$H$77)</f>
        <v>364</v>
      </c>
      <c r="G87" s="6">
        <f>SUMIF($B$14:$B$77,"PILAR",$I$14:$I$77)</f>
        <v>31.997951999999998</v>
      </c>
    </row>
    <row r="88" spans="3:11" s="6" customFormat="1" x14ac:dyDescent="0.25">
      <c r="C88" s="6" t="s">
        <v>50</v>
      </c>
      <c r="F88" s="6">
        <f>SUMIF($B$14:$B$77,"VIGA",$H$14:$H$77)</f>
        <v>833</v>
      </c>
      <c r="G88" s="6">
        <f>SUMIF($B$14:$B$77,"VIGA",$I$14:$I$77)</f>
        <v>106.68628000000001</v>
      </c>
    </row>
    <row r="89" spans="3:11" s="6" customFormat="1" x14ac:dyDescent="0.25">
      <c r="C89" s="6" t="s">
        <v>51</v>
      </c>
      <c r="F89" s="6">
        <f>SUMIF($B$14:$B$77,"TRAMA",$H$14:$H$77)</f>
        <v>1568</v>
      </c>
      <c r="G89" s="6">
        <f>SUMIF($B$14:$B$77,"TRAMA",$I$14:$I$77)</f>
        <v>152.50311299999996</v>
      </c>
    </row>
    <row r="90" spans="3:11" x14ac:dyDescent="0.25">
      <c r="D90" s="6" t="s">
        <v>27</v>
      </c>
      <c r="E90" s="6"/>
      <c r="F90" s="6"/>
      <c r="G90" s="6"/>
      <c r="H90" s="6"/>
      <c r="I90" s="6"/>
      <c r="J90" s="6"/>
      <c r="K90" s="6"/>
    </row>
    <row r="91" spans="3:11" ht="15.75" thickBot="1" x14ac:dyDescent="0.3">
      <c r="D91" s="6"/>
      <c r="E91" s="6"/>
      <c r="F91" s="6"/>
      <c r="G91" s="6"/>
      <c r="H91" s="6"/>
      <c r="I91" s="6"/>
      <c r="J91" s="6"/>
      <c r="K91" s="6"/>
    </row>
    <row r="92" spans="3:11" ht="15.75" thickBot="1" x14ac:dyDescent="0.3">
      <c r="D92" s="11" t="s">
        <v>18</v>
      </c>
      <c r="E92" s="12"/>
      <c r="F92" s="12"/>
      <c r="G92" s="13"/>
      <c r="H92" s="6"/>
      <c r="I92" s="6"/>
      <c r="J92" s="6"/>
      <c r="K92" s="6"/>
    </row>
    <row r="93" spans="3:11" x14ac:dyDescent="0.25">
      <c r="D93" s="10" t="s">
        <v>20</v>
      </c>
      <c r="E93" s="10" t="s">
        <v>21</v>
      </c>
      <c r="F93" s="10" t="s">
        <v>1</v>
      </c>
      <c r="G93" s="10" t="s">
        <v>22</v>
      </c>
      <c r="H93" s="6"/>
      <c r="I93" s="6"/>
      <c r="J93" s="6"/>
      <c r="K93" s="6"/>
    </row>
    <row r="94" spans="3:11" x14ac:dyDescent="0.25">
      <c r="D94" s="8" t="s">
        <v>24</v>
      </c>
      <c r="E94" s="8">
        <v>16180</v>
      </c>
      <c r="F94" s="8">
        <v>2</v>
      </c>
      <c r="G94" s="9">
        <f>(H94+I94+I94)*J94*E94*7850*F94/1000000000</f>
        <v>144.79481999999999</v>
      </c>
      <c r="H94" s="6">
        <v>300</v>
      </c>
      <c r="I94" s="6">
        <v>150</v>
      </c>
      <c r="J94" s="6">
        <v>0.95</v>
      </c>
    </row>
    <row r="95" spans="3:11" x14ac:dyDescent="0.25">
      <c r="D95" s="8" t="s">
        <v>28</v>
      </c>
      <c r="E95" s="8">
        <v>3680</v>
      </c>
      <c r="F95" s="8">
        <v>4</v>
      </c>
      <c r="G95" s="9">
        <f>(H95+I95+I95)*J95*E95*7850*F95/1000000000</f>
        <v>82.330799999999996</v>
      </c>
      <c r="H95" s="6">
        <v>450</v>
      </c>
      <c r="I95" s="6">
        <v>150</v>
      </c>
      <c r="J95" s="6">
        <v>0.95</v>
      </c>
    </row>
    <row r="96" spans="3:11" x14ac:dyDescent="0.25">
      <c r="D96" s="8" t="s">
        <v>28</v>
      </c>
      <c r="E96" s="8">
        <v>8240</v>
      </c>
      <c r="F96" s="8">
        <v>2</v>
      </c>
      <c r="G96" s="9">
        <f>(H96+I96+I96)*J96*E96*7850*F96/1000000000</f>
        <v>92.174700000000001</v>
      </c>
      <c r="H96" s="6">
        <v>450</v>
      </c>
      <c r="I96" s="6">
        <v>150</v>
      </c>
      <c r="J96" s="6">
        <v>0.95</v>
      </c>
    </row>
    <row r="97" spans="4:11" x14ac:dyDescent="0.25">
      <c r="D97" s="8" t="s">
        <v>28</v>
      </c>
      <c r="E97" s="8">
        <v>15580</v>
      </c>
      <c r="F97" s="8">
        <v>2</v>
      </c>
      <c r="G97" s="9">
        <f>(H97+I97+I97)*J97*E97*7850*F97/1000000000</f>
        <v>174.28177500000001</v>
      </c>
      <c r="H97" s="6">
        <v>450</v>
      </c>
      <c r="I97" s="6">
        <v>150</v>
      </c>
      <c r="J97" s="6">
        <v>0.95</v>
      </c>
    </row>
    <row r="98" spans="4:11" x14ac:dyDescent="0.25">
      <c r="D98" s="6"/>
      <c r="E98" s="6"/>
      <c r="F98" s="6" t="s">
        <v>25</v>
      </c>
      <c r="G98" s="7">
        <f>SUM(G94:G97)</f>
        <v>493.58209499999998</v>
      </c>
      <c r="H98" s="6"/>
      <c r="I98" s="6"/>
      <c r="J98" s="6"/>
      <c r="K98" s="6"/>
    </row>
  </sheetData>
  <mergeCells count="1">
    <mergeCell ref="C10:G10"/>
  </mergeCells>
  <pageMargins left="0.511811024" right="0.511811024" top="0.78740157499999996" bottom="0.78740157499999996" header="0.31496062000000002" footer="0.31496062000000002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B4264-A237-446B-A4BE-E236036652DA}">
  <dimension ref="B2:J94"/>
  <sheetViews>
    <sheetView showGridLines="0" view="pageBreakPreview" topLeftCell="A62" zoomScale="110" zoomScaleNormal="100" zoomScaleSheetLayoutView="110" workbookViewId="0">
      <selection activeCell="G85" sqref="G80:G85"/>
    </sheetView>
  </sheetViews>
  <sheetFormatPr defaultRowHeight="15" x14ac:dyDescent="0.25"/>
  <cols>
    <col min="3" max="3" width="4.7109375" bestFit="1" customWidth="1"/>
    <col min="4" max="4" width="17.42578125" bestFit="1" customWidth="1"/>
    <col min="5" max="5" width="4.85546875" bestFit="1" customWidth="1"/>
    <col min="6" max="6" width="13.7109375" bestFit="1" customWidth="1"/>
    <col min="11" max="11" width="23.28515625" bestFit="1" customWidth="1"/>
    <col min="12" max="12" width="13.140625" bestFit="1" customWidth="1"/>
    <col min="13" max="13" width="10.5703125" bestFit="1" customWidth="1"/>
    <col min="14" max="14" width="5.5703125" bestFit="1" customWidth="1"/>
  </cols>
  <sheetData>
    <row r="2" spans="2:9" ht="30" x14ac:dyDescent="0.25">
      <c r="C2" s="48"/>
      <c r="D2" s="59" t="s">
        <v>70</v>
      </c>
      <c r="E2" s="50"/>
      <c r="F2" s="6" t="s">
        <v>56</v>
      </c>
      <c r="G2" s="43"/>
      <c r="H2" s="6" t="s">
        <v>49</v>
      </c>
    </row>
    <row r="3" spans="2:9" ht="30" x14ac:dyDescent="0.25">
      <c r="C3" s="47"/>
      <c r="D3" s="59" t="s">
        <v>71</v>
      </c>
      <c r="E3" s="46"/>
      <c r="F3" s="6" t="s">
        <v>51</v>
      </c>
      <c r="G3" s="45"/>
      <c r="H3" s="6" t="s">
        <v>50</v>
      </c>
    </row>
    <row r="5" spans="2:9" x14ac:dyDescent="0.25">
      <c r="C5" s="192" t="s">
        <v>0</v>
      </c>
      <c r="D5" s="192"/>
      <c r="E5" s="192"/>
      <c r="F5" s="192"/>
      <c r="G5" s="192"/>
    </row>
    <row r="6" spans="2:9" x14ac:dyDescent="0.25">
      <c r="C6" s="6"/>
      <c r="D6" s="6"/>
      <c r="E6" s="6"/>
      <c r="F6" s="6"/>
      <c r="G6" s="6"/>
    </row>
    <row r="7" spans="2:9" ht="45" x14ac:dyDescent="0.25">
      <c r="B7" s="6"/>
      <c r="C7" s="51" t="s">
        <v>1</v>
      </c>
      <c r="D7" s="51" t="s">
        <v>2</v>
      </c>
      <c r="E7" s="51" t="s">
        <v>3</v>
      </c>
      <c r="F7" s="51" t="s">
        <v>4</v>
      </c>
      <c r="G7" s="51" t="s">
        <v>5</v>
      </c>
      <c r="H7" s="52" t="s">
        <v>57</v>
      </c>
      <c r="I7" s="52" t="s">
        <v>58</v>
      </c>
    </row>
    <row r="8" spans="2:9" x14ac:dyDescent="0.25">
      <c r="B8" s="6"/>
    </row>
    <row r="9" spans="2:9" x14ac:dyDescent="0.25">
      <c r="B9" s="6" t="s">
        <v>59</v>
      </c>
      <c r="C9" s="40">
        <v>2</v>
      </c>
      <c r="D9" s="40" t="s">
        <v>6</v>
      </c>
      <c r="E9" s="40" t="s">
        <v>7</v>
      </c>
      <c r="F9" s="40">
        <v>2340</v>
      </c>
      <c r="G9" s="40">
        <v>2</v>
      </c>
      <c r="H9">
        <f t="shared" ref="H9:H40" si="0">G9*C9</f>
        <v>4</v>
      </c>
      <c r="I9" s="6">
        <f>2*PI()*(0.00625)*C9*(F9/1000)</f>
        <v>0.18378317023500287</v>
      </c>
    </row>
    <row r="10" spans="2:9" x14ac:dyDescent="0.25">
      <c r="B10" s="6" t="s">
        <v>59</v>
      </c>
      <c r="C10" s="40">
        <v>2</v>
      </c>
      <c r="D10" s="40" t="s">
        <v>6</v>
      </c>
      <c r="E10" s="40" t="s">
        <v>7</v>
      </c>
      <c r="F10" s="40">
        <v>2430</v>
      </c>
      <c r="G10" s="40">
        <v>2</v>
      </c>
      <c r="H10" s="6">
        <f t="shared" si="0"/>
        <v>4</v>
      </c>
      <c r="I10" s="6">
        <f t="shared" ref="I10:I20" si="1">2*PI()*(0.00625)*C10*(F10/1000)</f>
        <v>0.19085175370557994</v>
      </c>
    </row>
    <row r="11" spans="2:9" x14ac:dyDescent="0.25">
      <c r="B11" s="6" t="s">
        <v>59</v>
      </c>
      <c r="C11" s="40">
        <v>6</v>
      </c>
      <c r="D11" s="40" t="s">
        <v>6</v>
      </c>
      <c r="E11" s="40" t="s">
        <v>7</v>
      </c>
      <c r="F11" s="40">
        <v>2480</v>
      </c>
      <c r="G11" s="40">
        <v>2</v>
      </c>
      <c r="H11" s="6">
        <f t="shared" si="0"/>
        <v>12</v>
      </c>
      <c r="I11" s="6">
        <f t="shared" si="1"/>
        <v>0.58433623356770148</v>
      </c>
    </row>
    <row r="12" spans="2:9" x14ac:dyDescent="0.25">
      <c r="B12" s="6" t="s">
        <v>59</v>
      </c>
      <c r="C12" s="40">
        <v>2</v>
      </c>
      <c r="D12" s="40" t="s">
        <v>6</v>
      </c>
      <c r="E12" s="40" t="s">
        <v>7</v>
      </c>
      <c r="F12" s="40">
        <v>2500</v>
      </c>
      <c r="G12" s="40">
        <v>2</v>
      </c>
      <c r="H12" s="6">
        <f t="shared" si="0"/>
        <v>4</v>
      </c>
      <c r="I12" s="6">
        <f t="shared" si="1"/>
        <v>0.19634954084936207</v>
      </c>
    </row>
    <row r="13" spans="2:9" x14ac:dyDescent="0.25">
      <c r="B13" s="6" t="s">
        <v>59</v>
      </c>
      <c r="C13" s="40">
        <v>2</v>
      </c>
      <c r="D13" s="40" t="s">
        <v>6</v>
      </c>
      <c r="E13" s="40" t="s">
        <v>7</v>
      </c>
      <c r="F13" s="40">
        <v>2510</v>
      </c>
      <c r="G13" s="40">
        <v>2</v>
      </c>
      <c r="H13" s="6">
        <f t="shared" si="0"/>
        <v>4</v>
      </c>
      <c r="I13" s="6">
        <f t="shared" si="1"/>
        <v>0.1971349390127595</v>
      </c>
    </row>
    <row r="14" spans="2:9" x14ac:dyDescent="0.25">
      <c r="B14" s="6" t="s">
        <v>59</v>
      </c>
      <c r="C14" s="40">
        <v>8</v>
      </c>
      <c r="D14" s="40" t="s">
        <v>6</v>
      </c>
      <c r="E14" s="40" t="s">
        <v>7</v>
      </c>
      <c r="F14" s="40">
        <v>2560</v>
      </c>
      <c r="G14" s="40">
        <v>2</v>
      </c>
      <c r="H14" s="6">
        <f t="shared" si="0"/>
        <v>16</v>
      </c>
      <c r="I14" s="6">
        <f t="shared" si="1"/>
        <v>0.80424771931898709</v>
      </c>
    </row>
    <row r="15" spans="2:9" x14ac:dyDescent="0.25">
      <c r="B15" s="6" t="s">
        <v>59</v>
      </c>
      <c r="C15" s="40">
        <v>4</v>
      </c>
      <c r="D15" s="40" t="s">
        <v>6</v>
      </c>
      <c r="E15" s="40" t="s">
        <v>7</v>
      </c>
      <c r="F15" s="40">
        <v>2600</v>
      </c>
      <c r="G15" s="40">
        <v>2</v>
      </c>
      <c r="H15" s="6">
        <f t="shared" si="0"/>
        <v>8</v>
      </c>
      <c r="I15" s="6">
        <f t="shared" si="1"/>
        <v>0.40840704496667313</v>
      </c>
    </row>
    <row r="16" spans="2:9" x14ac:dyDescent="0.25">
      <c r="B16" s="6" t="s">
        <v>59</v>
      </c>
      <c r="C16" s="40">
        <v>2</v>
      </c>
      <c r="D16" s="40" t="s">
        <v>6</v>
      </c>
      <c r="E16" s="40" t="s">
        <v>7</v>
      </c>
      <c r="F16" s="40">
        <v>2660</v>
      </c>
      <c r="G16" s="40">
        <v>2</v>
      </c>
      <c r="H16" s="6">
        <f t="shared" si="0"/>
        <v>4</v>
      </c>
      <c r="I16" s="6">
        <f t="shared" si="1"/>
        <v>0.20891591146372127</v>
      </c>
    </row>
    <row r="17" spans="2:9" x14ac:dyDescent="0.25">
      <c r="B17" s="6" t="s">
        <v>59</v>
      </c>
      <c r="C17" s="40">
        <v>8</v>
      </c>
      <c r="D17" s="40" t="s">
        <v>6</v>
      </c>
      <c r="E17" s="40" t="s">
        <v>7</v>
      </c>
      <c r="F17" s="40">
        <v>2820</v>
      </c>
      <c r="G17" s="40">
        <v>2</v>
      </c>
      <c r="H17" s="6">
        <f t="shared" si="0"/>
        <v>16</v>
      </c>
      <c r="I17" s="6">
        <f t="shared" si="1"/>
        <v>0.88592912831232162</v>
      </c>
    </row>
    <row r="18" spans="2:9" x14ac:dyDescent="0.25">
      <c r="B18" s="6" t="s">
        <v>59</v>
      </c>
      <c r="C18" s="40">
        <v>8</v>
      </c>
      <c r="D18" s="40" t="s">
        <v>6</v>
      </c>
      <c r="E18" s="40" t="s">
        <v>7</v>
      </c>
      <c r="F18" s="40">
        <v>4490</v>
      </c>
      <c r="G18" s="40">
        <v>4</v>
      </c>
      <c r="H18" s="6">
        <f t="shared" si="0"/>
        <v>32</v>
      </c>
      <c r="I18" s="6">
        <f t="shared" si="1"/>
        <v>1.4105751014618171</v>
      </c>
    </row>
    <row r="19" spans="2:9" x14ac:dyDescent="0.25">
      <c r="B19" s="6" t="s">
        <v>59</v>
      </c>
      <c r="C19" s="40">
        <v>2</v>
      </c>
      <c r="D19" s="40" t="s">
        <v>6</v>
      </c>
      <c r="E19" s="40" t="s">
        <v>7</v>
      </c>
      <c r="F19" s="40">
        <v>4590</v>
      </c>
      <c r="G19" s="40">
        <v>4</v>
      </c>
      <c r="H19" s="6">
        <f t="shared" si="0"/>
        <v>8</v>
      </c>
      <c r="I19" s="6">
        <f t="shared" si="1"/>
        <v>0.36049775699942876</v>
      </c>
    </row>
    <row r="20" spans="2:9" x14ac:dyDescent="0.25">
      <c r="B20" s="6" t="s">
        <v>59</v>
      </c>
      <c r="C20" s="40">
        <v>2</v>
      </c>
      <c r="D20" s="40" t="s">
        <v>6</v>
      </c>
      <c r="E20" s="40" t="s">
        <v>7</v>
      </c>
      <c r="F20" s="40">
        <v>4600</v>
      </c>
      <c r="G20" s="40">
        <v>4</v>
      </c>
      <c r="H20" s="6">
        <f t="shared" si="0"/>
        <v>8</v>
      </c>
      <c r="I20" s="6">
        <f t="shared" si="1"/>
        <v>0.36128315516282616</v>
      </c>
    </row>
    <row r="21" spans="2:9" x14ac:dyDescent="0.25">
      <c r="B21" s="6" t="s">
        <v>68</v>
      </c>
      <c r="C21" s="39">
        <v>25</v>
      </c>
      <c r="D21" s="39" t="s">
        <v>8</v>
      </c>
      <c r="E21" s="39" t="s">
        <v>7</v>
      </c>
      <c r="F21" s="39">
        <v>850</v>
      </c>
      <c r="G21" s="39">
        <v>2</v>
      </c>
      <c r="H21" s="6">
        <f t="shared" si="0"/>
        <v>50</v>
      </c>
      <c r="I21" s="6">
        <f>(0.044+0.044+0.003+0.003+0.041+0.041)*(F21/1000)*C21</f>
        <v>3.74</v>
      </c>
    </row>
    <row r="22" spans="2:9" x14ac:dyDescent="0.25">
      <c r="B22" s="6" t="s">
        <v>68</v>
      </c>
      <c r="C22" s="39">
        <v>32</v>
      </c>
      <c r="D22" s="39" t="s">
        <v>8</v>
      </c>
      <c r="E22" s="39" t="s">
        <v>7</v>
      </c>
      <c r="F22" s="39">
        <v>1010</v>
      </c>
      <c r="G22" s="39">
        <v>2</v>
      </c>
      <c r="H22" s="6">
        <f t="shared" si="0"/>
        <v>64</v>
      </c>
      <c r="I22" s="6">
        <f>(0.044+0.044+0.003+0.003+0.041+0.041)*(F22/1000)*C22</f>
        <v>5.6883200000000009</v>
      </c>
    </row>
    <row r="23" spans="2:9" x14ac:dyDescent="0.25">
      <c r="B23" s="6" t="s">
        <v>68</v>
      </c>
      <c r="C23" s="39">
        <v>32</v>
      </c>
      <c r="D23" s="39" t="s">
        <v>8</v>
      </c>
      <c r="E23" s="39" t="s">
        <v>7</v>
      </c>
      <c r="F23" s="39">
        <v>1170</v>
      </c>
      <c r="G23" s="39">
        <v>2</v>
      </c>
      <c r="H23" s="6">
        <f t="shared" si="0"/>
        <v>64</v>
      </c>
      <c r="I23" s="6">
        <f>(0.044+0.044+0.003+0.003+0.041+0.041)*(F23/1000)*C23</f>
        <v>6.5894400000000006</v>
      </c>
    </row>
    <row r="24" spans="2:9" x14ac:dyDescent="0.25">
      <c r="B24" s="6" t="s">
        <v>60</v>
      </c>
      <c r="C24" s="53">
        <v>16</v>
      </c>
      <c r="D24" s="53" t="s">
        <v>9</v>
      </c>
      <c r="E24" s="53" t="s">
        <v>7</v>
      </c>
      <c r="F24" s="53">
        <v>600</v>
      </c>
      <c r="G24" s="53">
        <v>2</v>
      </c>
      <c r="H24" s="6">
        <f t="shared" si="0"/>
        <v>32</v>
      </c>
      <c r="I24" s="6">
        <f t="shared" ref="I24:I36" si="2">(0.137+0.05+0.05+0.002+0.002+0.048+0.048+0.132)*(F24/1000)*C24</f>
        <v>4.5023999999999997</v>
      </c>
    </row>
    <row r="25" spans="2:9" x14ac:dyDescent="0.25">
      <c r="B25" s="6" t="s">
        <v>60</v>
      </c>
      <c r="C25" s="53">
        <v>16</v>
      </c>
      <c r="D25" s="53" t="s">
        <v>9</v>
      </c>
      <c r="E25" s="53" t="s">
        <v>7</v>
      </c>
      <c r="F25" s="53">
        <v>660</v>
      </c>
      <c r="G25" s="53">
        <v>2</v>
      </c>
      <c r="H25" s="6">
        <f t="shared" si="0"/>
        <v>32</v>
      </c>
      <c r="I25" s="6">
        <f t="shared" si="2"/>
        <v>4.9526399999999997</v>
      </c>
    </row>
    <row r="26" spans="2:9" x14ac:dyDescent="0.25">
      <c r="B26" s="6" t="s">
        <v>60</v>
      </c>
      <c r="C26" s="53">
        <v>18</v>
      </c>
      <c r="D26" s="53" t="s">
        <v>9</v>
      </c>
      <c r="E26" s="53" t="s">
        <v>7</v>
      </c>
      <c r="F26" s="53">
        <v>720</v>
      </c>
      <c r="G26" s="53">
        <v>3</v>
      </c>
      <c r="H26" s="6">
        <f t="shared" si="0"/>
        <v>54</v>
      </c>
      <c r="I26" s="6">
        <f t="shared" si="2"/>
        <v>6.0782399999999992</v>
      </c>
    </row>
    <row r="27" spans="2:9" x14ac:dyDescent="0.25">
      <c r="B27" s="6" t="s">
        <v>60</v>
      </c>
      <c r="C27" s="53">
        <v>18</v>
      </c>
      <c r="D27" s="53" t="s">
        <v>9</v>
      </c>
      <c r="E27" s="53" t="s">
        <v>7</v>
      </c>
      <c r="F27" s="53">
        <v>770</v>
      </c>
      <c r="G27" s="53">
        <v>3</v>
      </c>
      <c r="H27" s="6">
        <f t="shared" si="0"/>
        <v>54</v>
      </c>
      <c r="I27" s="6">
        <f t="shared" si="2"/>
        <v>6.5003400000000005</v>
      </c>
    </row>
    <row r="28" spans="2:9" x14ac:dyDescent="0.25">
      <c r="B28" s="6" t="s">
        <v>60</v>
      </c>
      <c r="C28" s="53">
        <v>7</v>
      </c>
      <c r="D28" s="53" t="s">
        <v>9</v>
      </c>
      <c r="E28" s="53" t="s">
        <v>7</v>
      </c>
      <c r="F28" s="53">
        <v>840</v>
      </c>
      <c r="G28" s="53">
        <v>3</v>
      </c>
      <c r="H28" s="6">
        <f t="shared" si="0"/>
        <v>21</v>
      </c>
      <c r="I28" s="6">
        <f t="shared" si="2"/>
        <v>2.7577199999999999</v>
      </c>
    </row>
    <row r="29" spans="2:9" x14ac:dyDescent="0.25">
      <c r="B29" s="6" t="s">
        <v>60</v>
      </c>
      <c r="C29" s="53">
        <v>11</v>
      </c>
      <c r="D29" s="53" t="s">
        <v>9</v>
      </c>
      <c r="E29" s="53" t="s">
        <v>7</v>
      </c>
      <c r="F29" s="53">
        <v>850</v>
      </c>
      <c r="G29" s="53">
        <v>3</v>
      </c>
      <c r="H29" s="6">
        <f t="shared" si="0"/>
        <v>33</v>
      </c>
      <c r="I29" s="6">
        <f t="shared" si="2"/>
        <v>4.3851499999999994</v>
      </c>
    </row>
    <row r="30" spans="2:9" x14ac:dyDescent="0.25">
      <c r="B30" s="6" t="s">
        <v>60</v>
      </c>
      <c r="C30" s="53">
        <v>7</v>
      </c>
      <c r="D30" s="53" t="s">
        <v>9</v>
      </c>
      <c r="E30" s="53" t="s">
        <v>7</v>
      </c>
      <c r="F30" s="53">
        <v>860</v>
      </c>
      <c r="G30" s="53">
        <v>3</v>
      </c>
      <c r="H30" s="6">
        <f t="shared" si="0"/>
        <v>21</v>
      </c>
      <c r="I30" s="6">
        <f t="shared" si="2"/>
        <v>2.8233799999999998</v>
      </c>
    </row>
    <row r="31" spans="2:9" x14ac:dyDescent="0.25">
      <c r="B31" s="6" t="s">
        <v>60</v>
      </c>
      <c r="C31" s="53">
        <v>9</v>
      </c>
      <c r="D31" s="53" t="s">
        <v>9</v>
      </c>
      <c r="E31" s="53" t="s">
        <v>7</v>
      </c>
      <c r="F31" s="53">
        <v>870</v>
      </c>
      <c r="G31" s="53">
        <v>3</v>
      </c>
      <c r="H31" s="6">
        <f t="shared" si="0"/>
        <v>27</v>
      </c>
      <c r="I31" s="6">
        <f t="shared" si="2"/>
        <v>3.6722699999999997</v>
      </c>
    </row>
    <row r="32" spans="2:9" x14ac:dyDescent="0.25">
      <c r="B32" s="6" t="s">
        <v>60</v>
      </c>
      <c r="C32" s="53">
        <v>9</v>
      </c>
      <c r="D32" s="53" t="s">
        <v>9</v>
      </c>
      <c r="E32" s="53" t="s">
        <v>7</v>
      </c>
      <c r="F32" s="53">
        <v>880</v>
      </c>
      <c r="G32" s="53">
        <v>3</v>
      </c>
      <c r="H32" s="6">
        <f t="shared" si="0"/>
        <v>27</v>
      </c>
      <c r="I32" s="6">
        <f t="shared" si="2"/>
        <v>3.71448</v>
      </c>
    </row>
    <row r="33" spans="2:9" x14ac:dyDescent="0.25">
      <c r="B33" s="6" t="s">
        <v>60</v>
      </c>
      <c r="C33" s="53">
        <v>2</v>
      </c>
      <c r="D33" s="53" t="s">
        <v>9</v>
      </c>
      <c r="E33" s="53" t="s">
        <v>7</v>
      </c>
      <c r="F33" s="53">
        <v>900</v>
      </c>
      <c r="G33" s="53">
        <v>3</v>
      </c>
      <c r="H33" s="6">
        <f t="shared" si="0"/>
        <v>6</v>
      </c>
      <c r="I33" s="6">
        <f t="shared" si="2"/>
        <v>0.84419999999999995</v>
      </c>
    </row>
    <row r="34" spans="2:9" x14ac:dyDescent="0.25">
      <c r="B34" s="6" t="s">
        <v>60</v>
      </c>
      <c r="C34" s="53">
        <v>16</v>
      </c>
      <c r="D34" s="53" t="s">
        <v>9</v>
      </c>
      <c r="E34" s="53" t="s">
        <v>7</v>
      </c>
      <c r="F34" s="53">
        <v>1040</v>
      </c>
      <c r="G34" s="53">
        <v>4</v>
      </c>
      <c r="H34" s="6">
        <f t="shared" si="0"/>
        <v>64</v>
      </c>
      <c r="I34" s="6">
        <f t="shared" si="2"/>
        <v>7.8041599999999995</v>
      </c>
    </row>
    <row r="35" spans="2:9" x14ac:dyDescent="0.25">
      <c r="B35" s="6" t="s">
        <v>60</v>
      </c>
      <c r="C35" s="53">
        <v>34</v>
      </c>
      <c r="D35" s="53" t="s">
        <v>9</v>
      </c>
      <c r="E35" s="53" t="s">
        <v>7</v>
      </c>
      <c r="F35" s="53">
        <v>1110</v>
      </c>
      <c r="G35" s="53">
        <v>4</v>
      </c>
      <c r="H35" s="6">
        <f t="shared" si="0"/>
        <v>136</v>
      </c>
      <c r="I35" s="6">
        <f t="shared" si="2"/>
        <v>17.700060000000001</v>
      </c>
    </row>
    <row r="36" spans="2:9" x14ac:dyDescent="0.25">
      <c r="B36" s="6" t="s">
        <v>60</v>
      </c>
      <c r="C36" s="53">
        <v>18</v>
      </c>
      <c r="D36" s="53" t="s">
        <v>9</v>
      </c>
      <c r="E36" s="53" t="s">
        <v>7</v>
      </c>
      <c r="F36" s="53">
        <v>1180</v>
      </c>
      <c r="G36" s="53">
        <v>4</v>
      </c>
      <c r="H36" s="6">
        <f t="shared" si="0"/>
        <v>72</v>
      </c>
      <c r="I36" s="6">
        <f t="shared" si="2"/>
        <v>9.9615599999999986</v>
      </c>
    </row>
    <row r="37" spans="2:9" x14ac:dyDescent="0.25">
      <c r="B37" s="6" t="s">
        <v>60</v>
      </c>
      <c r="C37" s="53">
        <v>2</v>
      </c>
      <c r="D37" s="53" t="s">
        <v>10</v>
      </c>
      <c r="E37" s="53" t="s">
        <v>7</v>
      </c>
      <c r="F37" s="53">
        <v>2550</v>
      </c>
      <c r="G37" s="53">
        <v>27</v>
      </c>
      <c r="H37" s="6">
        <f t="shared" si="0"/>
        <v>54</v>
      </c>
      <c r="I37" s="6">
        <f>(0.15+0.07+0.07+0.00475+0.00475+0.06525+0.06525+0.1405)*(F37/1000)*C37</f>
        <v>2.9095499999999999</v>
      </c>
    </row>
    <row r="38" spans="2:9" x14ac:dyDescent="0.25">
      <c r="B38" s="6" t="s">
        <v>60</v>
      </c>
      <c r="C38" s="53">
        <v>9</v>
      </c>
      <c r="D38" s="53" t="s">
        <v>10</v>
      </c>
      <c r="E38" s="53" t="s">
        <v>7</v>
      </c>
      <c r="F38" s="53">
        <v>4530</v>
      </c>
      <c r="G38" s="53">
        <v>47</v>
      </c>
      <c r="H38" s="6">
        <f t="shared" si="0"/>
        <v>423</v>
      </c>
      <c r="I38" s="6">
        <f>(0.15+0.07+0.07+0.00475+0.00475+0.06525+0.06525+0.1405)*(F38/1000)*C38</f>
        <v>23.259284999999998</v>
      </c>
    </row>
    <row r="39" spans="2:9" x14ac:dyDescent="0.25">
      <c r="B39" s="6" t="s">
        <v>60</v>
      </c>
      <c r="C39" s="53">
        <v>7</v>
      </c>
      <c r="D39" s="53" t="s">
        <v>10</v>
      </c>
      <c r="E39" s="53" t="s">
        <v>7</v>
      </c>
      <c r="F39" s="53">
        <v>4550</v>
      </c>
      <c r="G39" s="53">
        <v>48</v>
      </c>
      <c r="H39" s="6">
        <f t="shared" si="0"/>
        <v>336</v>
      </c>
      <c r="I39" s="6">
        <f>(0.15+0.07+0.07+0.00475+0.00475+0.06525+0.06525+0.1405)*(F39/1000)*C39</f>
        <v>18.170424999999998</v>
      </c>
    </row>
    <row r="40" spans="2:9" x14ac:dyDescent="0.25">
      <c r="B40" s="6" t="s">
        <v>60</v>
      </c>
      <c r="C40" s="53">
        <v>2</v>
      </c>
      <c r="D40" s="53" t="s">
        <v>17</v>
      </c>
      <c r="E40" s="53" t="s">
        <v>7</v>
      </c>
      <c r="F40" s="53">
        <v>7230</v>
      </c>
      <c r="G40" s="53">
        <v>100</v>
      </c>
      <c r="H40" s="6">
        <f t="shared" si="0"/>
        <v>200</v>
      </c>
      <c r="I40" s="6">
        <f>(0.15+0.07+0.07+0.00635+0.00635+0.06365+0.06365+0.1373)*(F40/1000)*C40</f>
        <v>8.2031580000000002</v>
      </c>
    </row>
    <row r="41" spans="2:9" x14ac:dyDescent="0.25">
      <c r="B41" s="6" t="s">
        <v>60</v>
      </c>
      <c r="C41" s="53">
        <v>7</v>
      </c>
      <c r="D41" s="53" t="s">
        <v>17</v>
      </c>
      <c r="E41" s="53" t="s">
        <v>7</v>
      </c>
      <c r="F41" s="53">
        <v>9060</v>
      </c>
      <c r="G41" s="53">
        <v>125</v>
      </c>
      <c r="H41" s="6">
        <f t="shared" ref="H41:H72" si="3">G41*C41</f>
        <v>875</v>
      </c>
      <c r="I41" s="6">
        <f>(0.15+0.07+0.07+0.00635+0.00635+0.06365+0.06365+0.1373)*(F41/1000)*C41</f>
        <v>35.978166000000002</v>
      </c>
    </row>
    <row r="42" spans="2:9" x14ac:dyDescent="0.25">
      <c r="B42" s="6" t="s">
        <v>51</v>
      </c>
      <c r="C42" s="41">
        <v>1</v>
      </c>
      <c r="D42" s="41" t="s">
        <v>12</v>
      </c>
      <c r="E42" s="41" t="s">
        <v>7</v>
      </c>
      <c r="F42" s="41">
        <v>3380</v>
      </c>
      <c r="G42" s="41">
        <v>18</v>
      </c>
      <c r="H42" s="6">
        <f t="shared" si="3"/>
        <v>18</v>
      </c>
      <c r="I42" s="6">
        <f t="shared" ref="I42:I56" si="4">(0.127+0.05+0.017+0.05+0.017+0.00265+0.00265+0.0447+0.0447+0.01435+0.01435+0.1217)*(F42/1000)*C42</f>
        <v>1.710618</v>
      </c>
    </row>
    <row r="43" spans="2:9" x14ac:dyDescent="0.25">
      <c r="B43" s="6" t="s">
        <v>51</v>
      </c>
      <c r="C43" s="41">
        <v>1</v>
      </c>
      <c r="D43" s="41" t="s">
        <v>12</v>
      </c>
      <c r="E43" s="41" t="s">
        <v>7</v>
      </c>
      <c r="F43" s="41">
        <v>3410</v>
      </c>
      <c r="G43" s="41">
        <v>18</v>
      </c>
      <c r="H43" s="6">
        <f t="shared" si="3"/>
        <v>18</v>
      </c>
      <c r="I43" s="6">
        <f t="shared" si="4"/>
        <v>1.7258010000000001</v>
      </c>
    </row>
    <row r="44" spans="2:9" x14ac:dyDescent="0.25">
      <c r="B44" s="6" t="s">
        <v>51</v>
      </c>
      <c r="C44" s="41">
        <v>6</v>
      </c>
      <c r="D44" s="41" t="s">
        <v>12</v>
      </c>
      <c r="E44" s="41" t="s">
        <v>7</v>
      </c>
      <c r="F44" s="41">
        <v>3450</v>
      </c>
      <c r="G44" s="41">
        <v>18</v>
      </c>
      <c r="H44" s="6">
        <f t="shared" si="3"/>
        <v>108</v>
      </c>
      <c r="I44" s="6">
        <f t="shared" si="4"/>
        <v>10.47627</v>
      </c>
    </row>
    <row r="45" spans="2:9" x14ac:dyDescent="0.25">
      <c r="B45" s="6" t="s">
        <v>51</v>
      </c>
      <c r="C45" s="41">
        <v>6</v>
      </c>
      <c r="D45" s="41" t="s">
        <v>12</v>
      </c>
      <c r="E45" s="41" t="s">
        <v>7</v>
      </c>
      <c r="F45" s="41">
        <v>3480</v>
      </c>
      <c r="G45" s="41">
        <v>18</v>
      </c>
      <c r="H45" s="6">
        <f t="shared" si="3"/>
        <v>108</v>
      </c>
      <c r="I45" s="6">
        <f t="shared" si="4"/>
        <v>10.567368</v>
      </c>
    </row>
    <row r="46" spans="2:9" x14ac:dyDescent="0.25">
      <c r="B46" s="6" t="s">
        <v>51</v>
      </c>
      <c r="C46" s="41">
        <v>1</v>
      </c>
      <c r="D46" s="41" t="s">
        <v>12</v>
      </c>
      <c r="E46" s="41" t="s">
        <v>7</v>
      </c>
      <c r="F46" s="41">
        <v>3550</v>
      </c>
      <c r="G46" s="41">
        <v>18</v>
      </c>
      <c r="H46" s="6">
        <f t="shared" si="3"/>
        <v>18</v>
      </c>
      <c r="I46" s="6">
        <f t="shared" si="4"/>
        <v>1.7966549999999999</v>
      </c>
    </row>
    <row r="47" spans="2:9" x14ac:dyDescent="0.25">
      <c r="B47" s="6" t="s">
        <v>51</v>
      </c>
      <c r="C47" s="41">
        <v>1</v>
      </c>
      <c r="D47" s="41" t="s">
        <v>12</v>
      </c>
      <c r="E47" s="41" t="s">
        <v>7</v>
      </c>
      <c r="F47" s="41">
        <v>3570</v>
      </c>
      <c r="G47" s="41">
        <v>19</v>
      </c>
      <c r="H47" s="6">
        <f t="shared" si="3"/>
        <v>19</v>
      </c>
      <c r="I47" s="6">
        <f t="shared" si="4"/>
        <v>1.8067769999999999</v>
      </c>
    </row>
    <row r="48" spans="2:9" x14ac:dyDescent="0.25">
      <c r="B48" s="6" t="s">
        <v>51</v>
      </c>
      <c r="C48" s="41">
        <v>8</v>
      </c>
      <c r="D48" s="41" t="s">
        <v>12</v>
      </c>
      <c r="E48" s="41" t="s">
        <v>7</v>
      </c>
      <c r="F48" s="41">
        <v>3630</v>
      </c>
      <c r="G48" s="41">
        <v>19</v>
      </c>
      <c r="H48" s="6">
        <f t="shared" si="3"/>
        <v>152</v>
      </c>
      <c r="I48" s="6">
        <f t="shared" si="4"/>
        <v>14.697144</v>
      </c>
    </row>
    <row r="49" spans="2:9" x14ac:dyDescent="0.25">
      <c r="B49" s="6" t="s">
        <v>51</v>
      </c>
      <c r="C49" s="41">
        <v>12</v>
      </c>
      <c r="D49" s="41" t="s">
        <v>12</v>
      </c>
      <c r="E49" s="41" t="s">
        <v>7</v>
      </c>
      <c r="F49" s="41">
        <v>3840</v>
      </c>
      <c r="G49" s="41">
        <v>20</v>
      </c>
      <c r="H49" s="6">
        <f t="shared" si="3"/>
        <v>240</v>
      </c>
      <c r="I49" s="6">
        <f t="shared" si="4"/>
        <v>23.321087999999996</v>
      </c>
    </row>
    <row r="50" spans="2:9" x14ac:dyDescent="0.25">
      <c r="B50" s="6" t="s">
        <v>51</v>
      </c>
      <c r="C50" s="41">
        <v>2</v>
      </c>
      <c r="D50" s="41" t="s">
        <v>12</v>
      </c>
      <c r="E50" s="41" t="s">
        <v>7</v>
      </c>
      <c r="F50" s="41">
        <v>3920</v>
      </c>
      <c r="G50" s="41">
        <v>20</v>
      </c>
      <c r="H50" s="6">
        <f t="shared" si="3"/>
        <v>40</v>
      </c>
      <c r="I50" s="6">
        <f t="shared" si="4"/>
        <v>3.9678239999999998</v>
      </c>
    </row>
    <row r="51" spans="2:9" x14ac:dyDescent="0.25">
      <c r="B51" s="6" t="s">
        <v>51</v>
      </c>
      <c r="C51" s="41">
        <v>7</v>
      </c>
      <c r="D51" s="41" t="s">
        <v>12</v>
      </c>
      <c r="E51" s="41" t="s">
        <v>7</v>
      </c>
      <c r="F51" s="41">
        <v>4000</v>
      </c>
      <c r="G51" s="41">
        <v>21</v>
      </c>
      <c r="H51" s="6">
        <f t="shared" si="3"/>
        <v>147</v>
      </c>
      <c r="I51" s="6">
        <f t="shared" si="4"/>
        <v>14.1708</v>
      </c>
    </row>
    <row r="52" spans="2:9" x14ac:dyDescent="0.25">
      <c r="B52" s="6" t="s">
        <v>51</v>
      </c>
      <c r="C52" s="41">
        <v>1</v>
      </c>
      <c r="D52" s="41" t="s">
        <v>12</v>
      </c>
      <c r="E52" s="41" t="s">
        <v>7</v>
      </c>
      <c r="F52" s="41">
        <v>4010</v>
      </c>
      <c r="G52" s="41">
        <v>21</v>
      </c>
      <c r="H52" s="6">
        <f t="shared" si="3"/>
        <v>21</v>
      </c>
      <c r="I52" s="6">
        <f t="shared" si="4"/>
        <v>2.029461</v>
      </c>
    </row>
    <row r="53" spans="2:9" x14ac:dyDescent="0.25">
      <c r="B53" s="6" t="s">
        <v>51</v>
      </c>
      <c r="C53" s="41">
        <v>12</v>
      </c>
      <c r="D53" s="41" t="s">
        <v>12</v>
      </c>
      <c r="E53" s="41" t="s">
        <v>7</v>
      </c>
      <c r="F53" s="41">
        <v>4550</v>
      </c>
      <c r="G53" s="41">
        <v>24</v>
      </c>
      <c r="H53" s="6">
        <f t="shared" si="3"/>
        <v>288</v>
      </c>
      <c r="I53" s="6">
        <f t="shared" si="4"/>
        <v>27.63306</v>
      </c>
    </row>
    <row r="54" spans="2:9" x14ac:dyDescent="0.25">
      <c r="B54" s="6" t="s">
        <v>51</v>
      </c>
      <c r="C54" s="41">
        <v>2</v>
      </c>
      <c r="D54" s="41" t="s">
        <v>12</v>
      </c>
      <c r="E54" s="41" t="s">
        <v>7</v>
      </c>
      <c r="F54" s="41">
        <v>4620</v>
      </c>
      <c r="G54" s="41">
        <v>24</v>
      </c>
      <c r="H54" s="6">
        <f t="shared" si="3"/>
        <v>48</v>
      </c>
      <c r="I54" s="6">
        <f t="shared" si="4"/>
        <v>4.6763640000000004</v>
      </c>
    </row>
    <row r="55" spans="2:9" x14ac:dyDescent="0.25">
      <c r="B55" s="6" t="s">
        <v>51</v>
      </c>
      <c r="C55" s="41">
        <v>2</v>
      </c>
      <c r="D55" s="41" t="s">
        <v>12</v>
      </c>
      <c r="E55" s="41" t="s">
        <v>7</v>
      </c>
      <c r="F55" s="41">
        <v>16130</v>
      </c>
      <c r="G55" s="41">
        <v>84</v>
      </c>
      <c r="H55" s="6">
        <f t="shared" si="3"/>
        <v>168</v>
      </c>
      <c r="I55" s="6">
        <f t="shared" si="4"/>
        <v>16.326785999999998</v>
      </c>
    </row>
    <row r="56" spans="2:9" x14ac:dyDescent="0.25">
      <c r="B56" s="6" t="s">
        <v>51</v>
      </c>
      <c r="C56" s="41">
        <v>2</v>
      </c>
      <c r="D56" s="41" t="s">
        <v>12</v>
      </c>
      <c r="E56" s="41" t="s">
        <v>7</v>
      </c>
      <c r="F56" s="41">
        <v>16180</v>
      </c>
      <c r="G56" s="41">
        <v>84</v>
      </c>
      <c r="H56" s="6">
        <f t="shared" si="3"/>
        <v>168</v>
      </c>
      <c r="I56" s="6">
        <f t="shared" si="4"/>
        <v>16.377396000000001</v>
      </c>
    </row>
    <row r="57" spans="2:9" x14ac:dyDescent="0.25">
      <c r="B57" s="6" t="s">
        <v>60</v>
      </c>
      <c r="C57" s="53">
        <v>32</v>
      </c>
      <c r="D57" s="53" t="s">
        <v>13</v>
      </c>
      <c r="E57" s="53" t="s">
        <v>7</v>
      </c>
      <c r="F57" s="53">
        <v>160</v>
      </c>
      <c r="G57" s="53">
        <v>1</v>
      </c>
      <c r="H57" s="6">
        <f t="shared" si="3"/>
        <v>32</v>
      </c>
      <c r="I57" s="6">
        <f t="shared" ref="I57:I63" si="5">(0.15+0.06+0.02+0.06+0.02+0.00304+0.00304+0.05392+0.05392+0.01696+0.01696+0.14392)*(F57/1000)*C57</f>
        <v>3.0810111999999998</v>
      </c>
    </row>
    <row r="58" spans="2:9" x14ac:dyDescent="0.25">
      <c r="B58" s="6" t="s">
        <v>60</v>
      </c>
      <c r="C58" s="53">
        <v>4</v>
      </c>
      <c r="D58" s="53" t="s">
        <v>13</v>
      </c>
      <c r="E58" s="53" t="s">
        <v>7</v>
      </c>
      <c r="F58" s="53">
        <v>370</v>
      </c>
      <c r="G58" s="53">
        <v>3</v>
      </c>
      <c r="H58" s="6">
        <f t="shared" si="3"/>
        <v>12</v>
      </c>
      <c r="I58" s="6">
        <f t="shared" si="5"/>
        <v>0.89060479999999997</v>
      </c>
    </row>
    <row r="59" spans="2:9" x14ac:dyDescent="0.25">
      <c r="B59" s="6" t="s">
        <v>60</v>
      </c>
      <c r="C59" s="53">
        <v>72</v>
      </c>
      <c r="D59" s="53" t="s">
        <v>13</v>
      </c>
      <c r="E59" s="53" t="s">
        <v>7</v>
      </c>
      <c r="F59" s="53">
        <v>550</v>
      </c>
      <c r="G59" s="53">
        <v>4</v>
      </c>
      <c r="H59" s="6">
        <f t="shared" si="3"/>
        <v>288</v>
      </c>
      <c r="I59" s="6">
        <f t="shared" si="5"/>
        <v>23.829695999999998</v>
      </c>
    </row>
    <row r="60" spans="2:9" x14ac:dyDescent="0.25">
      <c r="B60" s="6" t="s">
        <v>60</v>
      </c>
      <c r="C60" s="53">
        <v>7</v>
      </c>
      <c r="D60" s="53" t="s">
        <v>13</v>
      </c>
      <c r="E60" s="53" t="s">
        <v>7</v>
      </c>
      <c r="F60" s="53">
        <v>590</v>
      </c>
      <c r="G60" s="53">
        <v>4</v>
      </c>
      <c r="H60" s="6">
        <f t="shared" si="3"/>
        <v>28</v>
      </c>
      <c r="I60" s="6">
        <f t="shared" si="5"/>
        <v>2.4852688000000001</v>
      </c>
    </row>
    <row r="61" spans="2:9" x14ac:dyDescent="0.25">
      <c r="B61" s="6" t="s">
        <v>60</v>
      </c>
      <c r="C61" s="53">
        <v>25</v>
      </c>
      <c r="D61" s="53" t="s">
        <v>13</v>
      </c>
      <c r="E61" s="53" t="s">
        <v>7</v>
      </c>
      <c r="F61" s="53">
        <v>600</v>
      </c>
      <c r="G61" s="53">
        <v>4</v>
      </c>
      <c r="H61" s="6">
        <f t="shared" si="3"/>
        <v>100</v>
      </c>
      <c r="I61" s="6">
        <f t="shared" si="5"/>
        <v>9.0263999999999989</v>
      </c>
    </row>
    <row r="62" spans="2:9" x14ac:dyDescent="0.25">
      <c r="B62" s="6" t="s">
        <v>60</v>
      </c>
      <c r="C62" s="53">
        <v>2</v>
      </c>
      <c r="D62" s="53" t="s">
        <v>13</v>
      </c>
      <c r="E62" s="53" t="s">
        <v>7</v>
      </c>
      <c r="F62" s="53">
        <v>710</v>
      </c>
      <c r="G62" s="53">
        <v>5</v>
      </c>
      <c r="H62" s="6">
        <f t="shared" si="3"/>
        <v>10</v>
      </c>
      <c r="I62" s="6">
        <f t="shared" si="5"/>
        <v>0.8544991999999999</v>
      </c>
    </row>
    <row r="63" spans="2:9" x14ac:dyDescent="0.25">
      <c r="B63" s="6" t="s">
        <v>60</v>
      </c>
      <c r="C63" s="53">
        <v>2</v>
      </c>
      <c r="D63" s="53" t="s">
        <v>13</v>
      </c>
      <c r="E63" s="53" t="s">
        <v>7</v>
      </c>
      <c r="F63" s="53">
        <v>720</v>
      </c>
      <c r="G63" s="53">
        <v>5</v>
      </c>
      <c r="H63" s="6">
        <f t="shared" si="3"/>
        <v>10</v>
      </c>
      <c r="I63" s="6">
        <f t="shared" si="5"/>
        <v>0.86653439999999993</v>
      </c>
    </row>
    <row r="64" spans="2:9" x14ac:dyDescent="0.25">
      <c r="B64" s="6" t="s">
        <v>50</v>
      </c>
      <c r="C64" s="44">
        <v>14</v>
      </c>
      <c r="D64" s="44" t="s">
        <v>14</v>
      </c>
      <c r="E64" s="44" t="s">
        <v>7</v>
      </c>
      <c r="F64" s="44">
        <v>200</v>
      </c>
      <c r="G64" s="44">
        <v>1</v>
      </c>
      <c r="H64" s="6">
        <f t="shared" si="3"/>
        <v>14</v>
      </c>
      <c r="I64" s="6">
        <f t="shared" ref="I64:I72" si="6">(0.15+0.075+0.02+0.075+0.02+0.002+0.002+0.071+0.071+0.018+0.018+0.146)*(F64/1000)*C64</f>
        <v>1.8704000000000003</v>
      </c>
    </row>
    <row r="65" spans="2:9" x14ac:dyDescent="0.25">
      <c r="B65" s="6" t="s">
        <v>49</v>
      </c>
      <c r="C65" s="42">
        <v>14</v>
      </c>
      <c r="D65" s="42" t="s">
        <v>14</v>
      </c>
      <c r="E65" s="42" t="s">
        <v>7</v>
      </c>
      <c r="F65" s="42">
        <v>400</v>
      </c>
      <c r="G65" s="42">
        <v>2</v>
      </c>
      <c r="H65" s="6">
        <f t="shared" si="3"/>
        <v>28</v>
      </c>
      <c r="I65" s="6">
        <f t="shared" si="6"/>
        <v>3.7408000000000006</v>
      </c>
    </row>
    <row r="66" spans="2:9" x14ac:dyDescent="0.25">
      <c r="B66" s="6" t="s">
        <v>50</v>
      </c>
      <c r="C66" s="44">
        <v>7</v>
      </c>
      <c r="D66" s="44" t="s">
        <v>14</v>
      </c>
      <c r="E66" s="44" t="s">
        <v>7</v>
      </c>
      <c r="F66" s="44">
        <v>490</v>
      </c>
      <c r="G66" s="44">
        <v>3</v>
      </c>
      <c r="H66" s="6">
        <f t="shared" si="3"/>
        <v>21</v>
      </c>
      <c r="I66" s="6">
        <f t="shared" si="6"/>
        <v>2.2912400000000002</v>
      </c>
    </row>
    <row r="67" spans="2:9" x14ac:dyDescent="0.25">
      <c r="B67" s="6" t="s">
        <v>50</v>
      </c>
      <c r="C67" s="44">
        <v>7</v>
      </c>
      <c r="D67" s="44" t="s">
        <v>14</v>
      </c>
      <c r="E67" s="44" t="s">
        <v>7</v>
      </c>
      <c r="F67" s="44">
        <v>1500</v>
      </c>
      <c r="G67" s="44">
        <v>8</v>
      </c>
      <c r="H67" s="6">
        <f t="shared" si="3"/>
        <v>56</v>
      </c>
      <c r="I67" s="6">
        <f t="shared" si="6"/>
        <v>7.0140000000000002</v>
      </c>
    </row>
    <row r="68" spans="2:9" x14ac:dyDescent="0.25">
      <c r="B68" s="6" t="s">
        <v>50</v>
      </c>
      <c r="C68" s="44">
        <v>7</v>
      </c>
      <c r="D68" s="44" t="s">
        <v>14</v>
      </c>
      <c r="E68" s="44" t="s">
        <v>7</v>
      </c>
      <c r="F68" s="44">
        <v>1980</v>
      </c>
      <c r="G68" s="44">
        <v>10</v>
      </c>
      <c r="H68" s="6">
        <f t="shared" si="3"/>
        <v>70</v>
      </c>
      <c r="I68" s="6">
        <f t="shared" si="6"/>
        <v>9.2584800000000005</v>
      </c>
    </row>
    <row r="69" spans="2:9" x14ac:dyDescent="0.25">
      <c r="B69" s="6" t="s">
        <v>50</v>
      </c>
      <c r="C69" s="44">
        <v>8</v>
      </c>
      <c r="D69" s="44" t="s">
        <v>14</v>
      </c>
      <c r="E69" s="44" t="s">
        <v>7</v>
      </c>
      <c r="F69" s="44">
        <v>4050</v>
      </c>
      <c r="G69" s="44">
        <v>21</v>
      </c>
      <c r="H69" s="6">
        <f t="shared" si="3"/>
        <v>168</v>
      </c>
      <c r="I69" s="6">
        <f t="shared" si="6"/>
        <v>21.6432</v>
      </c>
    </row>
    <row r="70" spans="2:9" x14ac:dyDescent="0.25">
      <c r="B70" s="6" t="s">
        <v>50</v>
      </c>
      <c r="C70" s="44">
        <v>4</v>
      </c>
      <c r="D70" s="44" t="s">
        <v>14</v>
      </c>
      <c r="E70" s="44" t="s">
        <v>7</v>
      </c>
      <c r="F70" s="44">
        <v>4080</v>
      </c>
      <c r="G70" s="44">
        <v>21</v>
      </c>
      <c r="H70" s="6">
        <f t="shared" si="3"/>
        <v>84</v>
      </c>
      <c r="I70" s="6">
        <f t="shared" si="6"/>
        <v>10.901760000000001</v>
      </c>
    </row>
    <row r="71" spans="2:9" x14ac:dyDescent="0.25">
      <c r="B71" s="6" t="s">
        <v>50</v>
      </c>
      <c r="C71" s="44">
        <v>4</v>
      </c>
      <c r="D71" s="44" t="s">
        <v>14</v>
      </c>
      <c r="E71" s="44" t="s">
        <v>7</v>
      </c>
      <c r="F71" s="44">
        <v>4100</v>
      </c>
      <c r="G71" s="44">
        <v>21</v>
      </c>
      <c r="H71" s="6">
        <f t="shared" si="3"/>
        <v>84</v>
      </c>
      <c r="I71" s="6">
        <f t="shared" si="6"/>
        <v>10.9552</v>
      </c>
    </row>
    <row r="72" spans="2:9" x14ac:dyDescent="0.25">
      <c r="B72" s="6" t="s">
        <v>50</v>
      </c>
      <c r="C72" s="44">
        <v>8</v>
      </c>
      <c r="D72" s="44" t="s">
        <v>14</v>
      </c>
      <c r="E72" s="44" t="s">
        <v>7</v>
      </c>
      <c r="F72" s="44">
        <v>8000</v>
      </c>
      <c r="G72" s="44">
        <v>42</v>
      </c>
      <c r="H72" s="6">
        <f t="shared" si="3"/>
        <v>336</v>
      </c>
      <c r="I72" s="6">
        <f t="shared" si="6"/>
        <v>42.752000000000002</v>
      </c>
    </row>
    <row r="73" spans="2:9" x14ac:dyDescent="0.25">
      <c r="B73" s="6" t="s">
        <v>49</v>
      </c>
      <c r="C73" s="42">
        <v>14</v>
      </c>
      <c r="D73" s="42" t="s">
        <v>15</v>
      </c>
      <c r="E73" s="42" t="s">
        <v>7</v>
      </c>
      <c r="F73" s="42">
        <v>3050</v>
      </c>
      <c r="G73" s="42">
        <v>24</v>
      </c>
      <c r="H73" s="6">
        <f t="shared" ref="H73" si="7">G73*C73</f>
        <v>336</v>
      </c>
      <c r="I73" s="6">
        <f>(0.15+0.075+0.02+0.075+0.02+0.00304+0.00304+0.06892+0.06892+0.01696+0.01696+0.14392)*(F73/1000)*C73</f>
        <v>28.257151999999998</v>
      </c>
    </row>
    <row r="75" spans="2:9" x14ac:dyDescent="0.25">
      <c r="D75" s="2"/>
      <c r="E75" s="3"/>
      <c r="F75" s="3"/>
      <c r="G75" s="4"/>
      <c r="H75">
        <f>SUM(H9:H73)</f>
        <v>6003</v>
      </c>
      <c r="I75" s="6">
        <f>SUM(I9:I73)</f>
        <v>517.0289138550562</v>
      </c>
    </row>
    <row r="76" spans="2:9" x14ac:dyDescent="0.25">
      <c r="D76" s="6"/>
      <c r="E76" s="6"/>
      <c r="F76" s="6"/>
      <c r="G76" s="6"/>
    </row>
    <row r="77" spans="2:9" x14ac:dyDescent="0.25">
      <c r="D77" s="2" t="s">
        <v>16</v>
      </c>
      <c r="E77" s="3"/>
      <c r="F77" s="3"/>
      <c r="G77" s="4">
        <f>G75+H75</f>
        <v>6003</v>
      </c>
    </row>
    <row r="79" spans="2:9" x14ac:dyDescent="0.25">
      <c r="C79" s="6"/>
      <c r="D79" s="6"/>
      <c r="E79" s="6"/>
      <c r="F79" s="6" t="s">
        <v>61</v>
      </c>
      <c r="G79" s="6" t="s">
        <v>62</v>
      </c>
    </row>
    <row r="80" spans="2:9" x14ac:dyDescent="0.25">
      <c r="C80" s="6" t="s">
        <v>66</v>
      </c>
      <c r="D80" s="6"/>
      <c r="E80" s="6"/>
      <c r="F80" s="6">
        <f>SUMIF($B$9:$B$73,"CONT",$H$9:$H$73)</f>
        <v>120</v>
      </c>
      <c r="G80" s="6">
        <f>SUMIF($B$9:$B$73,"CONT",$I$9:$I$73)</f>
        <v>5.7923114550561809</v>
      </c>
    </row>
    <row r="81" spans="3:10" x14ac:dyDescent="0.25">
      <c r="C81" s="6" t="s">
        <v>67</v>
      </c>
      <c r="D81" s="6"/>
      <c r="E81" s="6"/>
      <c r="F81" s="6">
        <f>SUMIF($B$9:$B$73,"CONTC",$H$9:$H$73)</f>
        <v>178</v>
      </c>
      <c r="G81" s="6">
        <f>SUMIF($B$9:$B$73,"CONTC",$I$9:$I$73)</f>
        <v>16.017760000000003</v>
      </c>
    </row>
    <row r="82" spans="3:10" x14ac:dyDescent="0.25">
      <c r="C82" s="6" t="s">
        <v>56</v>
      </c>
      <c r="D82" s="6"/>
      <c r="E82" s="6"/>
      <c r="F82" s="6">
        <f>SUMIF($B$9:$B$73,"TRELICA",$H$9:$H$73)</f>
        <v>2947</v>
      </c>
      <c r="G82" s="6">
        <f>SUMIF($B$9:$B$73,"TRELICA",$I$9:$I$73)</f>
        <v>205.25119839999996</v>
      </c>
    </row>
    <row r="83" spans="3:10" x14ac:dyDescent="0.25">
      <c r="C83" s="6" t="s">
        <v>49</v>
      </c>
      <c r="D83" s="6"/>
      <c r="E83" s="6"/>
      <c r="F83" s="6">
        <f>SUMIF($B$9:$B$73,"PILAR",$H$9:$H$73)</f>
        <v>364</v>
      </c>
      <c r="G83" s="6">
        <f>SUMIF($B$9:$B$73,"PILAR",$I$9:$I$73)</f>
        <v>31.997951999999998</v>
      </c>
    </row>
    <row r="84" spans="3:10" x14ac:dyDescent="0.25">
      <c r="C84" s="6" t="s">
        <v>50</v>
      </c>
      <c r="D84" s="6"/>
      <c r="E84" s="6"/>
      <c r="F84" s="6">
        <f>SUMIF($B$9:$B$73,"VIGA",$H$9:$H$73)</f>
        <v>833</v>
      </c>
      <c r="G84" s="6">
        <f>SUMIF($B$9:$B$73,"VIGA",$I$9:$I$73)</f>
        <v>106.68628000000001</v>
      </c>
    </row>
    <row r="85" spans="3:10" x14ac:dyDescent="0.25">
      <c r="C85" s="6" t="s">
        <v>51</v>
      </c>
      <c r="D85" s="6"/>
      <c r="E85" s="6"/>
      <c r="F85" s="6">
        <f>SUMIF($B$9:$B$73,"TRAMA",$H$9:$H$73)</f>
        <v>1561</v>
      </c>
      <c r="G85" s="6">
        <f>SUMIF($B$9:$B$73,"TRAMA",$I$9:$I$73)</f>
        <v>151.283412</v>
      </c>
    </row>
    <row r="86" spans="3:10" x14ac:dyDescent="0.25">
      <c r="D86" s="6" t="s">
        <v>29</v>
      </c>
      <c r="E86" s="6"/>
      <c r="F86" s="6"/>
      <c r="G86" s="6"/>
      <c r="H86" s="6"/>
      <c r="I86" s="6"/>
      <c r="J86" s="6"/>
    </row>
    <row r="87" spans="3:10" ht="15.75" thickBot="1" x14ac:dyDescent="0.3">
      <c r="D87" s="6"/>
      <c r="E87" s="6"/>
      <c r="F87" s="6"/>
      <c r="G87" s="6"/>
      <c r="H87" s="6"/>
      <c r="I87" s="6"/>
      <c r="J87" s="6"/>
    </row>
    <row r="88" spans="3:10" ht="15.75" thickBot="1" x14ac:dyDescent="0.3">
      <c r="D88" s="11" t="s">
        <v>18</v>
      </c>
      <c r="E88" s="12"/>
      <c r="F88" s="12"/>
      <c r="G88" s="13"/>
      <c r="H88" s="6"/>
      <c r="I88" s="6"/>
      <c r="J88" s="6"/>
    </row>
    <row r="89" spans="3:10" x14ac:dyDescent="0.25">
      <c r="D89" s="10" t="s">
        <v>20</v>
      </c>
      <c r="E89" s="10" t="s">
        <v>21</v>
      </c>
      <c r="F89" s="10" t="s">
        <v>1</v>
      </c>
      <c r="G89" s="10" t="s">
        <v>22</v>
      </c>
      <c r="H89" s="6"/>
      <c r="I89" s="6"/>
      <c r="J89" s="6"/>
    </row>
    <row r="90" spans="3:10" x14ac:dyDescent="0.25">
      <c r="D90" s="8" t="s">
        <v>24</v>
      </c>
      <c r="E90" s="8">
        <v>16180</v>
      </c>
      <c r="F90" s="8">
        <v>2</v>
      </c>
      <c r="G90" s="9">
        <f>(H90+I90+I90)*J90*E90*7850*F90/1000000000</f>
        <v>144.79481999999999</v>
      </c>
      <c r="H90" s="6">
        <v>300</v>
      </c>
      <c r="I90" s="6">
        <v>150</v>
      </c>
      <c r="J90" s="6">
        <v>0.95</v>
      </c>
    </row>
    <row r="91" spans="3:10" x14ac:dyDescent="0.25">
      <c r="D91" s="8" t="s">
        <v>28</v>
      </c>
      <c r="E91" s="8">
        <v>3810</v>
      </c>
      <c r="F91" s="8">
        <v>4</v>
      </c>
      <c r="G91" s="9">
        <f>(H91+I91+I91)*J91*E91*7850*F91/1000000000</f>
        <v>85.239225000000005</v>
      </c>
      <c r="H91" s="6">
        <v>450</v>
      </c>
      <c r="I91" s="6">
        <v>150</v>
      </c>
      <c r="J91" s="6">
        <v>0.95</v>
      </c>
    </row>
    <row r="92" spans="3:10" x14ac:dyDescent="0.25">
      <c r="D92" s="8" t="s">
        <v>28</v>
      </c>
      <c r="E92" s="8">
        <v>8240</v>
      </c>
      <c r="F92" s="8">
        <v>2</v>
      </c>
      <c r="G92" s="9">
        <f>(H92+I92+I92)*J92*E92*7850*F92/1000000000</f>
        <v>92.174700000000001</v>
      </c>
      <c r="H92" s="6">
        <v>450</v>
      </c>
      <c r="I92" s="6">
        <v>150</v>
      </c>
      <c r="J92" s="6">
        <v>0.95</v>
      </c>
    </row>
    <row r="93" spans="3:10" x14ac:dyDescent="0.25">
      <c r="D93" s="8" t="s">
        <v>28</v>
      </c>
      <c r="E93" s="8">
        <v>15730</v>
      </c>
      <c r="F93" s="8">
        <v>2</v>
      </c>
      <c r="G93" s="9">
        <f>(H93+I93+I93)*J93*E93*7850*F93/1000000000</f>
        <v>175.95971249999999</v>
      </c>
      <c r="H93" s="6">
        <v>450</v>
      </c>
      <c r="I93" s="6">
        <v>150</v>
      </c>
      <c r="J93" s="6">
        <v>0.95</v>
      </c>
    </row>
    <row r="94" spans="3:10" x14ac:dyDescent="0.25">
      <c r="D94" s="6"/>
      <c r="E94" s="6"/>
      <c r="F94" s="6" t="s">
        <v>25</v>
      </c>
      <c r="G94" s="7">
        <f>SUM(G90:G93)</f>
        <v>498.16845750000005</v>
      </c>
      <c r="H94" s="6"/>
      <c r="I94" s="6"/>
      <c r="J94" s="6"/>
    </row>
  </sheetData>
  <mergeCells count="1">
    <mergeCell ref="C5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0BEFE-FE7A-4F37-BF4D-AA5FA2FC3984}">
  <dimension ref="B1:R53"/>
  <sheetViews>
    <sheetView showGridLines="0" view="pageBreakPreview" topLeftCell="A28" zoomScale="110" zoomScaleNormal="100" zoomScaleSheetLayoutView="110" workbookViewId="0">
      <selection activeCell="F46" sqref="F46:G47"/>
    </sheetView>
  </sheetViews>
  <sheetFormatPr defaultRowHeight="15" x14ac:dyDescent="0.25"/>
  <cols>
    <col min="3" max="3" width="4.7109375" bestFit="1" customWidth="1"/>
    <col min="4" max="4" width="17.42578125" bestFit="1" customWidth="1"/>
    <col min="5" max="5" width="7.28515625" customWidth="1"/>
    <col min="6" max="6" width="13.7109375" bestFit="1" customWidth="1"/>
    <col min="8" max="8" width="7.140625" customWidth="1"/>
    <col min="11" max="11" width="23.28515625" bestFit="1" customWidth="1"/>
    <col min="12" max="12" width="13.140625" bestFit="1" customWidth="1"/>
    <col min="13" max="13" width="10.5703125" bestFit="1" customWidth="1"/>
    <col min="14" max="14" width="5.5703125" bestFit="1" customWidth="1"/>
    <col min="16" max="17" width="4" bestFit="1" customWidth="1"/>
    <col min="18" max="18" width="5" bestFit="1" customWidth="1"/>
  </cols>
  <sheetData>
    <row r="1" spans="2:9" s="6" customFormat="1" x14ac:dyDescent="0.25"/>
    <row r="2" spans="2:9" s="6" customFormat="1" ht="30" x14ac:dyDescent="0.25">
      <c r="C2" s="48"/>
      <c r="D2" s="59" t="s">
        <v>70</v>
      </c>
      <c r="E2" s="50"/>
      <c r="F2" s="6" t="s">
        <v>56</v>
      </c>
      <c r="G2" s="43"/>
      <c r="H2" s="6" t="s">
        <v>49</v>
      </c>
    </row>
    <row r="3" spans="2:9" ht="30" x14ac:dyDescent="0.25">
      <c r="C3" s="47"/>
      <c r="D3" s="59" t="s">
        <v>71</v>
      </c>
      <c r="E3" s="46"/>
      <c r="F3" s="6" t="s">
        <v>51</v>
      </c>
      <c r="G3" s="45"/>
      <c r="H3" s="6" t="s">
        <v>50</v>
      </c>
    </row>
    <row r="5" spans="2:9" x14ac:dyDescent="0.25">
      <c r="C5" s="192" t="s">
        <v>0</v>
      </c>
      <c r="D5" s="192"/>
      <c r="E5" s="192"/>
      <c r="F5" s="192"/>
      <c r="G5" s="192"/>
      <c r="H5" s="6"/>
    </row>
    <row r="6" spans="2:9" x14ac:dyDescent="0.25">
      <c r="C6" s="6"/>
      <c r="D6" s="6"/>
      <c r="E6" s="6"/>
      <c r="F6" s="6"/>
      <c r="G6" s="6"/>
      <c r="H6" s="6"/>
    </row>
    <row r="7" spans="2:9" ht="45" x14ac:dyDescent="0.25">
      <c r="C7" s="51" t="s">
        <v>1</v>
      </c>
      <c r="D7" s="51" t="s">
        <v>2</v>
      </c>
      <c r="E7" s="51" t="s">
        <v>3</v>
      </c>
      <c r="F7" s="51" t="s">
        <v>4</v>
      </c>
      <c r="G7" s="51" t="s">
        <v>5</v>
      </c>
      <c r="H7" s="52" t="s">
        <v>57</v>
      </c>
      <c r="I7" s="52" t="s">
        <v>58</v>
      </c>
    </row>
    <row r="8" spans="2:9" x14ac:dyDescent="0.25">
      <c r="C8" s="6"/>
      <c r="D8" s="6"/>
      <c r="E8" s="6"/>
      <c r="F8" s="6"/>
      <c r="G8" s="6"/>
      <c r="H8" s="6"/>
    </row>
    <row r="9" spans="2:9" x14ac:dyDescent="0.25">
      <c r="B9" s="6" t="s">
        <v>59</v>
      </c>
      <c r="C9" s="40">
        <v>8</v>
      </c>
      <c r="D9" s="40" t="s">
        <v>6</v>
      </c>
      <c r="E9" s="40" t="s">
        <v>7</v>
      </c>
      <c r="F9" s="40">
        <v>2670</v>
      </c>
      <c r="G9" s="40">
        <v>2</v>
      </c>
      <c r="H9" s="6">
        <f>G9*C9</f>
        <v>16</v>
      </c>
      <c r="I9" s="6">
        <f>2*PI()*(0.00625)*C9*(F9/1000)</f>
        <v>0.83880523850847477</v>
      </c>
    </row>
    <row r="10" spans="2:9" x14ac:dyDescent="0.25">
      <c r="B10" s="6" t="s">
        <v>59</v>
      </c>
      <c r="C10" s="40">
        <v>8</v>
      </c>
      <c r="D10" s="40" t="s">
        <v>6</v>
      </c>
      <c r="E10" s="40" t="s">
        <v>7</v>
      </c>
      <c r="F10" s="40">
        <v>2870</v>
      </c>
      <c r="G10" s="40">
        <v>2</v>
      </c>
      <c r="H10" s="6">
        <f t="shared" ref="H10:H36" si="0">G10*C10</f>
        <v>16</v>
      </c>
      <c r="I10" s="6">
        <f>2*PI()*(0.00625)*C10*(F10/1000)</f>
        <v>0.90163709158027061</v>
      </c>
    </row>
    <row r="11" spans="2:9" x14ac:dyDescent="0.25">
      <c r="B11" s="6" t="s">
        <v>59</v>
      </c>
      <c r="C11" s="40">
        <v>4</v>
      </c>
      <c r="D11" s="40" t="s">
        <v>6</v>
      </c>
      <c r="E11" s="40" t="s">
        <v>7</v>
      </c>
      <c r="F11" s="40">
        <v>2940</v>
      </c>
      <c r="G11" s="40">
        <v>2</v>
      </c>
      <c r="H11" s="6">
        <f t="shared" si="0"/>
        <v>8</v>
      </c>
      <c r="I11" s="6">
        <f>2*PI()*(0.00625)*C11*(F11/1000)</f>
        <v>0.46181412007769956</v>
      </c>
    </row>
    <row r="12" spans="2:9" x14ac:dyDescent="0.25">
      <c r="B12" s="6" t="s">
        <v>59</v>
      </c>
      <c r="C12" s="40">
        <v>4</v>
      </c>
      <c r="D12" s="40" t="s">
        <v>6</v>
      </c>
      <c r="E12" s="40" t="s">
        <v>7</v>
      </c>
      <c r="F12" s="40">
        <v>3020</v>
      </c>
      <c r="G12" s="40">
        <v>2</v>
      </c>
      <c r="H12" s="6">
        <f t="shared" si="0"/>
        <v>8</v>
      </c>
      <c r="I12" s="6">
        <f>2*PI()*(0.00625)*C12*(F12/1000)</f>
        <v>0.47438049069205879</v>
      </c>
    </row>
    <row r="13" spans="2:9" x14ac:dyDescent="0.25">
      <c r="B13" s="6" t="s">
        <v>59</v>
      </c>
      <c r="C13" s="40">
        <v>12</v>
      </c>
      <c r="D13" s="40" t="s">
        <v>6</v>
      </c>
      <c r="E13" s="40" t="s">
        <v>7</v>
      </c>
      <c r="F13" s="40">
        <v>3630</v>
      </c>
      <c r="G13" s="40">
        <v>3</v>
      </c>
      <c r="H13" s="6">
        <f t="shared" si="0"/>
        <v>36</v>
      </c>
      <c r="I13" s="6">
        <f>2*PI()*(0.00625)*C13*(F13/1000)</f>
        <v>1.7105971998796423</v>
      </c>
    </row>
    <row r="14" spans="2:9" x14ac:dyDescent="0.25">
      <c r="B14" s="6" t="s">
        <v>68</v>
      </c>
      <c r="C14" s="39">
        <v>24</v>
      </c>
      <c r="D14" s="39" t="s">
        <v>8</v>
      </c>
      <c r="E14" s="39" t="s">
        <v>7</v>
      </c>
      <c r="F14" s="39">
        <v>1010</v>
      </c>
      <c r="G14" s="39">
        <v>2</v>
      </c>
      <c r="H14" s="6">
        <f t="shared" si="0"/>
        <v>48</v>
      </c>
      <c r="I14" s="6">
        <f>(0.044+0.044+0.003+0.003+0.041+0.041)*(F14/1000)*C14</f>
        <v>4.2662400000000007</v>
      </c>
    </row>
    <row r="15" spans="2:9" x14ac:dyDescent="0.25">
      <c r="B15" s="6" t="s">
        <v>68</v>
      </c>
      <c r="C15" s="39">
        <v>24</v>
      </c>
      <c r="D15" s="39" t="s">
        <v>8</v>
      </c>
      <c r="E15" s="39" t="s">
        <v>7</v>
      </c>
      <c r="F15" s="39">
        <v>1170</v>
      </c>
      <c r="G15" s="39">
        <v>2</v>
      </c>
      <c r="H15" s="6">
        <f t="shared" si="0"/>
        <v>48</v>
      </c>
      <c r="I15" s="6">
        <f>(0.044+0.044+0.003+0.003+0.041+0.041)*(F15/1000)*C15</f>
        <v>4.9420800000000007</v>
      </c>
    </row>
    <row r="16" spans="2:9" x14ac:dyDescent="0.25">
      <c r="B16" s="6" t="s">
        <v>60</v>
      </c>
      <c r="C16" s="53">
        <v>14</v>
      </c>
      <c r="D16" s="53" t="s">
        <v>9</v>
      </c>
      <c r="E16" s="53" t="s">
        <v>7</v>
      </c>
      <c r="F16" s="53">
        <v>660</v>
      </c>
      <c r="G16" s="53">
        <v>2</v>
      </c>
      <c r="H16" s="6">
        <f t="shared" si="0"/>
        <v>28</v>
      </c>
      <c r="I16" s="6">
        <f t="shared" ref="I16:I23" si="1">(0.137+0.05+0.05+0.002+0.002+0.048+0.048+0.132)*(F16/1000)*C16</f>
        <v>4.3335599999999994</v>
      </c>
    </row>
    <row r="17" spans="2:18" x14ac:dyDescent="0.25">
      <c r="B17" s="6" t="s">
        <v>60</v>
      </c>
      <c r="C17" s="53">
        <v>14</v>
      </c>
      <c r="D17" s="53" t="s">
        <v>9</v>
      </c>
      <c r="E17" s="53" t="s">
        <v>7</v>
      </c>
      <c r="F17" s="53">
        <v>720</v>
      </c>
      <c r="G17" s="53">
        <v>3</v>
      </c>
      <c r="H17" s="6">
        <f t="shared" si="0"/>
        <v>42</v>
      </c>
      <c r="I17" s="6">
        <f t="shared" si="1"/>
        <v>4.7275200000000002</v>
      </c>
    </row>
    <row r="18" spans="2:18" x14ac:dyDescent="0.25">
      <c r="B18" s="6" t="s">
        <v>60</v>
      </c>
      <c r="C18" s="53">
        <v>14</v>
      </c>
      <c r="D18" s="53" t="s">
        <v>9</v>
      </c>
      <c r="E18" s="53" t="s">
        <v>7</v>
      </c>
      <c r="F18" s="53">
        <v>770</v>
      </c>
      <c r="G18" s="53">
        <v>3</v>
      </c>
      <c r="H18" s="6">
        <f t="shared" si="0"/>
        <v>42</v>
      </c>
      <c r="I18" s="6">
        <f t="shared" si="1"/>
        <v>5.0558199999999998</v>
      </c>
      <c r="K18" s="6"/>
      <c r="L18" s="6"/>
      <c r="O18" s="6"/>
      <c r="P18" s="6"/>
      <c r="Q18" s="6"/>
      <c r="R18" s="6"/>
    </row>
    <row r="19" spans="2:18" x14ac:dyDescent="0.25">
      <c r="B19" s="6" t="s">
        <v>60</v>
      </c>
      <c r="C19" s="53">
        <v>7</v>
      </c>
      <c r="D19" s="53" t="s">
        <v>9</v>
      </c>
      <c r="E19" s="53" t="s">
        <v>7</v>
      </c>
      <c r="F19" s="53">
        <v>840</v>
      </c>
      <c r="G19" s="53">
        <v>3</v>
      </c>
      <c r="H19" s="6">
        <f t="shared" si="0"/>
        <v>21</v>
      </c>
      <c r="I19" s="6">
        <f t="shared" si="1"/>
        <v>2.7577199999999999</v>
      </c>
    </row>
    <row r="20" spans="2:18" x14ac:dyDescent="0.25">
      <c r="B20" s="6" t="s">
        <v>60</v>
      </c>
      <c r="C20" s="53">
        <v>7</v>
      </c>
      <c r="D20" s="53" t="s">
        <v>9</v>
      </c>
      <c r="E20" s="53" t="s">
        <v>7</v>
      </c>
      <c r="F20" s="53">
        <v>850</v>
      </c>
      <c r="G20" s="53">
        <v>3</v>
      </c>
      <c r="H20" s="6">
        <f t="shared" si="0"/>
        <v>21</v>
      </c>
      <c r="I20" s="6">
        <f t="shared" si="1"/>
        <v>2.7905499999999996</v>
      </c>
    </row>
    <row r="21" spans="2:18" x14ac:dyDescent="0.25">
      <c r="B21" s="6" t="s">
        <v>60</v>
      </c>
      <c r="C21" s="53">
        <v>7</v>
      </c>
      <c r="D21" s="53" t="s">
        <v>9</v>
      </c>
      <c r="E21" s="53" t="s">
        <v>7</v>
      </c>
      <c r="F21" s="53">
        <v>860</v>
      </c>
      <c r="G21" s="53">
        <v>3</v>
      </c>
      <c r="H21" s="6">
        <f t="shared" si="0"/>
        <v>21</v>
      </c>
      <c r="I21" s="6">
        <f t="shared" si="1"/>
        <v>2.8233799999999998</v>
      </c>
    </row>
    <row r="22" spans="2:18" x14ac:dyDescent="0.25">
      <c r="B22" s="6" t="s">
        <v>60</v>
      </c>
      <c r="C22" s="53">
        <v>28</v>
      </c>
      <c r="D22" s="53" t="s">
        <v>9</v>
      </c>
      <c r="E22" s="53" t="s">
        <v>7</v>
      </c>
      <c r="F22" s="53">
        <v>1110</v>
      </c>
      <c r="G22" s="53">
        <v>4</v>
      </c>
      <c r="H22" s="6">
        <f t="shared" si="0"/>
        <v>112</v>
      </c>
      <c r="I22" s="6">
        <f t="shared" si="1"/>
        <v>14.57652</v>
      </c>
    </row>
    <row r="23" spans="2:18" x14ac:dyDescent="0.25">
      <c r="B23" s="6" t="s">
        <v>60</v>
      </c>
      <c r="C23" s="53">
        <v>14</v>
      </c>
      <c r="D23" s="53" t="s">
        <v>9</v>
      </c>
      <c r="E23" s="53" t="s">
        <v>7</v>
      </c>
      <c r="F23" s="53">
        <v>1180</v>
      </c>
      <c r="G23" s="53">
        <v>4</v>
      </c>
      <c r="H23" s="6">
        <f t="shared" si="0"/>
        <v>56</v>
      </c>
      <c r="I23" s="6">
        <f t="shared" si="1"/>
        <v>7.7478799999999985</v>
      </c>
    </row>
    <row r="24" spans="2:18" x14ac:dyDescent="0.25">
      <c r="B24" s="6" t="s">
        <v>60</v>
      </c>
      <c r="C24" s="53">
        <v>7</v>
      </c>
      <c r="D24" s="53" t="s">
        <v>10</v>
      </c>
      <c r="E24" s="53" t="s">
        <v>7</v>
      </c>
      <c r="F24" s="53">
        <v>3530</v>
      </c>
      <c r="G24" s="53">
        <v>37</v>
      </c>
      <c r="H24" s="6">
        <f t="shared" si="0"/>
        <v>259</v>
      </c>
      <c r="I24" s="6">
        <f>(0.15+0.07+0.07+0.00475+0.00475+0.06525+0.06525+0.1405)*(F24/1000)*C24</f>
        <v>14.097055000000001</v>
      </c>
    </row>
    <row r="25" spans="2:18" x14ac:dyDescent="0.25">
      <c r="B25" s="6" t="s">
        <v>60</v>
      </c>
      <c r="C25" s="53">
        <v>7</v>
      </c>
      <c r="D25" s="53" t="s">
        <v>10</v>
      </c>
      <c r="E25" s="53" t="s">
        <v>7</v>
      </c>
      <c r="F25" s="53">
        <v>3550</v>
      </c>
      <c r="G25" s="53">
        <v>37</v>
      </c>
      <c r="H25" s="6">
        <f t="shared" si="0"/>
        <v>259</v>
      </c>
      <c r="I25" s="6">
        <f>(0.15+0.07+0.07+0.00475+0.00475+0.06525+0.06525+0.1405)*(F25/1000)*C25</f>
        <v>14.176924999999997</v>
      </c>
    </row>
    <row r="26" spans="2:18" x14ac:dyDescent="0.25">
      <c r="B26" s="6" t="s">
        <v>60</v>
      </c>
      <c r="C26" s="53">
        <v>7</v>
      </c>
      <c r="D26" s="53" t="s">
        <v>17</v>
      </c>
      <c r="E26" s="53" t="s">
        <v>7</v>
      </c>
      <c r="F26" s="53">
        <v>7060</v>
      </c>
      <c r="G26" s="53">
        <v>98</v>
      </c>
      <c r="H26" s="6">
        <f t="shared" si="0"/>
        <v>686</v>
      </c>
      <c r="I26" s="6">
        <f>(0.15+0.07+0.07+0.00635+0.00635+0.06365+0.06365+0.1373)*(F26/1000)*C26</f>
        <v>28.035965999999998</v>
      </c>
    </row>
    <row r="27" spans="2:18" x14ac:dyDescent="0.25">
      <c r="B27" s="6" t="s">
        <v>51</v>
      </c>
      <c r="C27" s="41">
        <v>12</v>
      </c>
      <c r="D27" s="41" t="s">
        <v>12</v>
      </c>
      <c r="E27" s="41" t="s">
        <v>7</v>
      </c>
      <c r="F27" s="41">
        <v>4030</v>
      </c>
      <c r="G27" s="41">
        <v>21</v>
      </c>
      <c r="H27" s="6">
        <f t="shared" si="0"/>
        <v>252</v>
      </c>
      <c r="I27" s="6">
        <f t="shared" ref="I27:I32" si="2">(0.127+0.05+0.017+0.05+0.017+0.00265+0.00265+0.0447+0.0447+0.01435+0.01435+0.1217)*(F27/1000)*C27</f>
        <v>24.474995999999997</v>
      </c>
    </row>
    <row r="28" spans="2:18" x14ac:dyDescent="0.25">
      <c r="B28" s="6" t="s">
        <v>51</v>
      </c>
      <c r="C28" s="41">
        <v>6</v>
      </c>
      <c r="D28" s="41" t="s">
        <v>12</v>
      </c>
      <c r="E28" s="41" t="s">
        <v>7</v>
      </c>
      <c r="F28" s="41">
        <v>4760</v>
      </c>
      <c r="G28" s="41">
        <v>25</v>
      </c>
      <c r="H28" s="6">
        <f t="shared" si="0"/>
        <v>150</v>
      </c>
      <c r="I28" s="6">
        <f t="shared" si="2"/>
        <v>14.454215999999999</v>
      </c>
    </row>
    <row r="29" spans="2:18" x14ac:dyDescent="0.25">
      <c r="B29" s="6" t="s">
        <v>51</v>
      </c>
      <c r="C29" s="41">
        <v>1</v>
      </c>
      <c r="D29" s="41" t="s">
        <v>12</v>
      </c>
      <c r="E29" s="41" t="s">
        <v>7</v>
      </c>
      <c r="F29" s="41">
        <v>4770</v>
      </c>
      <c r="G29" s="41">
        <v>25</v>
      </c>
      <c r="H29" s="6">
        <f t="shared" si="0"/>
        <v>25</v>
      </c>
      <c r="I29" s="6">
        <f t="shared" si="2"/>
        <v>2.4140969999999999</v>
      </c>
    </row>
    <row r="30" spans="2:18" x14ac:dyDescent="0.25">
      <c r="B30" s="6" t="s">
        <v>51</v>
      </c>
      <c r="C30" s="41">
        <v>5</v>
      </c>
      <c r="D30" s="41" t="s">
        <v>12</v>
      </c>
      <c r="E30" s="41" t="s">
        <v>7</v>
      </c>
      <c r="F30" s="41">
        <v>4780</v>
      </c>
      <c r="G30" s="41">
        <v>25</v>
      </c>
      <c r="H30" s="6">
        <f t="shared" si="0"/>
        <v>125</v>
      </c>
      <c r="I30" s="6">
        <f t="shared" si="2"/>
        <v>12.095789999999999</v>
      </c>
    </row>
    <row r="31" spans="2:18" x14ac:dyDescent="0.25">
      <c r="B31" s="6" t="s">
        <v>51</v>
      </c>
      <c r="C31" s="41">
        <v>6</v>
      </c>
      <c r="D31" s="41" t="s">
        <v>12</v>
      </c>
      <c r="E31" s="41" t="s">
        <v>7</v>
      </c>
      <c r="F31" s="41">
        <v>4870</v>
      </c>
      <c r="G31" s="41">
        <v>25</v>
      </c>
      <c r="H31" s="6">
        <f t="shared" si="0"/>
        <v>150</v>
      </c>
      <c r="I31" s="6">
        <f t="shared" si="2"/>
        <v>14.788242</v>
      </c>
    </row>
    <row r="32" spans="2:18" x14ac:dyDescent="0.25">
      <c r="B32" s="6" t="s">
        <v>51</v>
      </c>
      <c r="C32" s="41">
        <v>6</v>
      </c>
      <c r="D32" s="41" t="s">
        <v>12</v>
      </c>
      <c r="E32" s="41" t="s">
        <v>7</v>
      </c>
      <c r="F32" s="41">
        <v>5170</v>
      </c>
      <c r="G32" s="41">
        <v>27</v>
      </c>
      <c r="H32" s="6">
        <f t="shared" si="0"/>
        <v>162</v>
      </c>
      <c r="I32" s="6">
        <f t="shared" si="2"/>
        <v>15.699222000000001</v>
      </c>
    </row>
    <row r="33" spans="2:9" x14ac:dyDescent="0.25">
      <c r="B33" s="6" t="s">
        <v>60</v>
      </c>
      <c r="C33" s="53">
        <v>28</v>
      </c>
      <c r="D33" s="53" t="s">
        <v>13</v>
      </c>
      <c r="E33" s="53" t="s">
        <v>7</v>
      </c>
      <c r="F33" s="53">
        <v>160</v>
      </c>
      <c r="G33" s="53">
        <v>1</v>
      </c>
      <c r="H33" s="6">
        <f t="shared" si="0"/>
        <v>28</v>
      </c>
      <c r="I33" s="6">
        <f>(0.15+0.06+0.02+0.06+0.02+0.00304+0.00304+0.05392+0.05392+0.01696+0.01696+0.14392)*(F33/1000)*C33</f>
        <v>2.6958848</v>
      </c>
    </row>
    <row r="34" spans="2:9" x14ac:dyDescent="0.25">
      <c r="B34" s="6" t="s">
        <v>60</v>
      </c>
      <c r="C34" s="53">
        <v>56</v>
      </c>
      <c r="D34" s="53" t="s">
        <v>13</v>
      </c>
      <c r="E34" s="53" t="s">
        <v>7</v>
      </c>
      <c r="F34" s="53">
        <v>550</v>
      </c>
      <c r="G34" s="53">
        <v>4</v>
      </c>
      <c r="H34" s="6">
        <f t="shared" si="0"/>
        <v>224</v>
      </c>
      <c r="I34" s="6">
        <f>(0.15+0.06+0.02+0.06+0.02+0.00304+0.00304+0.05392+0.05392+0.01696+0.01696+0.14392)*(F34/1000)*C34</f>
        <v>18.534208</v>
      </c>
    </row>
    <row r="35" spans="2:9" x14ac:dyDescent="0.25">
      <c r="B35" s="6" t="s">
        <v>60</v>
      </c>
      <c r="C35" s="53">
        <v>7</v>
      </c>
      <c r="D35" s="53" t="s">
        <v>13</v>
      </c>
      <c r="E35" s="53" t="s">
        <v>7</v>
      </c>
      <c r="F35" s="53">
        <v>650</v>
      </c>
      <c r="G35" s="53">
        <v>5</v>
      </c>
      <c r="H35" s="6">
        <f t="shared" si="0"/>
        <v>35</v>
      </c>
      <c r="I35" s="6">
        <f>(0.15+0.06+0.02+0.06+0.02+0.00304+0.00304+0.05392+0.05392+0.01696+0.01696+0.14392)*(F35/1000)*C35</f>
        <v>2.7380079999999998</v>
      </c>
    </row>
    <row r="36" spans="2:9" x14ac:dyDescent="0.25">
      <c r="B36" s="6" t="s">
        <v>60</v>
      </c>
      <c r="C36" s="53">
        <v>21</v>
      </c>
      <c r="D36" s="53" t="s">
        <v>13</v>
      </c>
      <c r="E36" s="53" t="s">
        <v>7</v>
      </c>
      <c r="F36" s="53">
        <v>660</v>
      </c>
      <c r="G36" s="53">
        <v>5</v>
      </c>
      <c r="H36" s="6">
        <f t="shared" si="0"/>
        <v>105</v>
      </c>
      <c r="I36" s="6">
        <f>(0.15+0.06+0.02+0.06+0.02+0.00304+0.00304+0.05392+0.05392+0.01696+0.01696+0.14392)*(F36/1000)*C36</f>
        <v>8.3403936000000005</v>
      </c>
    </row>
    <row r="38" spans="2:9" x14ac:dyDescent="0.25">
      <c r="D38" s="2"/>
      <c r="E38" s="3"/>
      <c r="F38" s="3"/>
      <c r="G38" s="4"/>
      <c r="H38" s="6">
        <f>SUM(H9:H36)</f>
        <v>2983</v>
      </c>
      <c r="I38" s="6">
        <f>SUM(I9:I36)</f>
        <v>230.95350754073812</v>
      </c>
    </row>
    <row r="39" spans="2:9" x14ac:dyDescent="0.25">
      <c r="D39" s="6"/>
      <c r="E39" s="6"/>
      <c r="F39" s="6"/>
      <c r="G39" s="6"/>
      <c r="H39" s="6"/>
    </row>
    <row r="40" spans="2:9" x14ac:dyDescent="0.25">
      <c r="D40" s="2" t="s">
        <v>16</v>
      </c>
      <c r="E40" s="3"/>
      <c r="F40" s="3"/>
      <c r="G40" s="4">
        <f>G38+H38</f>
        <v>2983</v>
      </c>
      <c r="H40" s="6"/>
    </row>
    <row r="42" spans="2:9" x14ac:dyDescent="0.25">
      <c r="C42" s="6"/>
      <c r="D42" s="6"/>
      <c r="E42" s="6"/>
      <c r="F42" s="6" t="s">
        <v>61</v>
      </c>
      <c r="G42" s="6" t="s">
        <v>62</v>
      </c>
    </row>
    <row r="43" spans="2:9" x14ac:dyDescent="0.25">
      <c r="C43" s="6" t="s">
        <v>66</v>
      </c>
      <c r="D43" s="6"/>
      <c r="E43" s="6"/>
      <c r="F43" s="6">
        <f>SUMIF($B$9:$B$36,"CONT",$H$9:$H$36)</f>
        <v>84</v>
      </c>
      <c r="G43" s="6">
        <f>SUMIF($B$9:$B$36,"CONT",$I$9:$I$36)</f>
        <v>4.3872341407381468</v>
      </c>
    </row>
    <row r="44" spans="2:9" x14ac:dyDescent="0.25">
      <c r="C44" s="6" t="s">
        <v>67</v>
      </c>
      <c r="D44" s="6"/>
      <c r="E44" s="6"/>
      <c r="F44" s="6">
        <f>SUMIF($B$9:$B$36,"CONTC",$H$9:$H$36)</f>
        <v>96</v>
      </c>
      <c r="G44" s="6">
        <f>SUMIF($B$9:$B$36,"CONTC",$I$9:$I$36)</f>
        <v>9.2083200000000005</v>
      </c>
    </row>
    <row r="45" spans="2:9" x14ac:dyDescent="0.25">
      <c r="C45" s="6" t="s">
        <v>56</v>
      </c>
      <c r="D45" s="6"/>
      <c r="E45" s="6"/>
      <c r="F45" s="6">
        <f>SUMIF($B$9:$B$36,"TRELICA",$H$9:$H$36)</f>
        <v>1939</v>
      </c>
      <c r="G45" s="6">
        <f>SUMIF($B$9:$B$36,"TRELICA",$I$9:$I$36)</f>
        <v>133.4313904</v>
      </c>
    </row>
    <row r="46" spans="2:9" x14ac:dyDescent="0.25">
      <c r="C46" s="6" t="s">
        <v>49</v>
      </c>
      <c r="D46" s="6"/>
      <c r="E46" s="6"/>
      <c r="F46" s="6"/>
      <c r="G46" s="6"/>
    </row>
    <row r="47" spans="2:9" x14ac:dyDescent="0.25">
      <c r="C47" s="6" t="s">
        <v>50</v>
      </c>
      <c r="D47" s="6"/>
      <c r="E47" s="6"/>
      <c r="F47" s="6"/>
      <c r="G47" s="6"/>
    </row>
    <row r="48" spans="2:9" x14ac:dyDescent="0.25">
      <c r="C48" s="6" t="s">
        <v>51</v>
      </c>
      <c r="D48" s="6"/>
      <c r="E48" s="6"/>
      <c r="F48" s="6">
        <f>SUMIF($B$11:$B$36,"TRAMA",$H$11:$H$36)</f>
        <v>864</v>
      </c>
      <c r="G48" s="6">
        <f>SUMIF($B$9:$B$36,"TRAMA",$I$9:$I$36)</f>
        <v>83.926563000000002</v>
      </c>
    </row>
    <row r="49" spans="4:11" ht="15.75" thickBot="1" x14ac:dyDescent="0.3"/>
    <row r="50" spans="4:11" ht="15.75" thickBot="1" x14ac:dyDescent="0.3">
      <c r="D50" s="11" t="s">
        <v>18</v>
      </c>
      <c r="E50" s="12"/>
      <c r="F50" s="12"/>
      <c r="G50" s="13"/>
      <c r="H50" s="6"/>
      <c r="I50" s="6"/>
      <c r="J50" s="6"/>
      <c r="K50" s="6"/>
    </row>
    <row r="51" spans="4:11" x14ac:dyDescent="0.25">
      <c r="D51" s="10" t="s">
        <v>20</v>
      </c>
      <c r="E51" s="10" t="s">
        <v>21</v>
      </c>
      <c r="F51" s="10" t="s">
        <v>1</v>
      </c>
      <c r="G51" s="10" t="s">
        <v>22</v>
      </c>
      <c r="H51" s="6"/>
      <c r="I51" s="6"/>
      <c r="J51" s="6"/>
      <c r="K51" s="6"/>
    </row>
    <row r="52" spans="4:11" x14ac:dyDescent="0.25">
      <c r="D52" s="8" t="s">
        <v>28</v>
      </c>
      <c r="E52" s="8">
        <v>27820</v>
      </c>
      <c r="F52" s="8">
        <v>2</v>
      </c>
      <c r="G52" s="9">
        <f>(H52+I52+I52)*J52*E52*7850*F52/1000000000</f>
        <v>311.20147500000002</v>
      </c>
      <c r="H52" s="6">
        <v>450</v>
      </c>
      <c r="I52" s="6">
        <v>150</v>
      </c>
      <c r="J52" s="6">
        <v>0.95</v>
      </c>
    </row>
    <row r="53" spans="4:11" x14ac:dyDescent="0.25">
      <c r="F53" s="6" t="s">
        <v>25</v>
      </c>
      <c r="G53" s="7">
        <f>SUM(G52:G52)</f>
        <v>311.20147500000002</v>
      </c>
    </row>
  </sheetData>
  <mergeCells count="1">
    <mergeCell ref="C5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C7ED-D7A1-4025-938F-9B6572DD60BE}">
  <dimension ref="B1:L44"/>
  <sheetViews>
    <sheetView showGridLines="0" view="pageBreakPreview" topLeftCell="A19" zoomScale="110" zoomScaleNormal="100" zoomScaleSheetLayoutView="110" workbookViewId="0">
      <selection activeCell="F37" sqref="F37:G38"/>
    </sheetView>
  </sheetViews>
  <sheetFormatPr defaultRowHeight="15" x14ac:dyDescent="0.25"/>
  <cols>
    <col min="3" max="3" width="4.7109375" bestFit="1" customWidth="1"/>
    <col min="4" max="4" width="17.42578125" bestFit="1" customWidth="1"/>
    <col min="5" max="5" width="6.28515625" customWidth="1"/>
    <col min="6" max="6" width="13.7109375" bestFit="1" customWidth="1"/>
    <col min="8" max="8" width="8.140625" customWidth="1"/>
    <col min="11" max="11" width="23.28515625" bestFit="1" customWidth="1"/>
    <col min="12" max="12" width="13.140625" bestFit="1" customWidth="1"/>
    <col min="13" max="13" width="10.5703125" bestFit="1" customWidth="1"/>
    <col min="14" max="14" width="5.5703125" bestFit="1" customWidth="1"/>
  </cols>
  <sheetData>
    <row r="1" spans="2:12" s="6" customFormat="1" x14ac:dyDescent="0.25"/>
    <row r="2" spans="2:12" s="6" customFormat="1" ht="30" x14ac:dyDescent="0.25">
      <c r="C2" s="48"/>
      <c r="D2" s="59" t="s">
        <v>70</v>
      </c>
      <c r="E2" s="50"/>
      <c r="F2" s="6" t="s">
        <v>56</v>
      </c>
      <c r="G2" s="43"/>
      <c r="H2" s="6" t="s">
        <v>49</v>
      </c>
    </row>
    <row r="3" spans="2:12" ht="30" x14ac:dyDescent="0.25">
      <c r="C3" s="47"/>
      <c r="D3" s="59" t="s">
        <v>71</v>
      </c>
      <c r="E3" s="46"/>
      <c r="F3" s="6" t="s">
        <v>51</v>
      </c>
      <c r="G3" s="45"/>
      <c r="H3" s="6" t="s">
        <v>50</v>
      </c>
    </row>
    <row r="5" spans="2:12" x14ac:dyDescent="0.25">
      <c r="C5" s="192" t="s">
        <v>0</v>
      </c>
      <c r="D5" s="192"/>
      <c r="E5" s="192"/>
      <c r="F5" s="192"/>
      <c r="G5" s="192"/>
      <c r="H5" s="6"/>
    </row>
    <row r="6" spans="2:12" x14ac:dyDescent="0.25">
      <c r="C6" s="6"/>
      <c r="D6" s="6"/>
      <c r="E6" s="6"/>
      <c r="F6" s="6"/>
      <c r="G6" s="6"/>
      <c r="H6" s="6"/>
    </row>
    <row r="7" spans="2:12" ht="45" x14ac:dyDescent="0.25"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2" t="s">
        <v>57</v>
      </c>
      <c r="I7" s="52" t="s">
        <v>58</v>
      </c>
    </row>
    <row r="8" spans="2:12" x14ac:dyDescent="0.25">
      <c r="C8" s="6"/>
      <c r="D8" s="6"/>
      <c r="E8" s="6"/>
      <c r="F8" s="6"/>
      <c r="G8" s="6"/>
      <c r="H8" s="6"/>
    </row>
    <row r="9" spans="2:12" x14ac:dyDescent="0.25">
      <c r="B9" s="6" t="s">
        <v>59</v>
      </c>
      <c r="C9" s="40">
        <v>4</v>
      </c>
      <c r="D9" s="40" t="s">
        <v>6</v>
      </c>
      <c r="E9" s="40" t="s">
        <v>7</v>
      </c>
      <c r="F9" s="40">
        <v>2310</v>
      </c>
      <c r="G9" s="40">
        <v>2</v>
      </c>
      <c r="H9" s="6">
        <f>G9*C9</f>
        <v>8</v>
      </c>
      <c r="I9" s="6">
        <f>2*PI()*(0.00625)*C9*(F9/1000)</f>
        <v>0.36285395148962113</v>
      </c>
    </row>
    <row r="10" spans="2:12" x14ac:dyDescent="0.25">
      <c r="B10" s="6" t="s">
        <v>59</v>
      </c>
      <c r="C10" s="40">
        <v>4</v>
      </c>
      <c r="D10" s="40" t="s">
        <v>6</v>
      </c>
      <c r="E10" s="40" t="s">
        <v>7</v>
      </c>
      <c r="F10" s="40">
        <v>2510</v>
      </c>
      <c r="G10" s="40">
        <v>2</v>
      </c>
      <c r="H10" s="6">
        <f t="shared" ref="H10:H27" si="0">G10*C10</f>
        <v>8</v>
      </c>
      <c r="I10" s="6">
        <f>2*PI()*(0.00625)*C10*(F10/1000)</f>
        <v>0.39426987802551899</v>
      </c>
    </row>
    <row r="11" spans="2:12" x14ac:dyDescent="0.25">
      <c r="B11" s="6" t="s">
        <v>59</v>
      </c>
      <c r="C11" s="40">
        <v>4</v>
      </c>
      <c r="D11" s="40" t="s">
        <v>6</v>
      </c>
      <c r="E11" s="40" t="s">
        <v>7</v>
      </c>
      <c r="F11" s="40">
        <v>2660</v>
      </c>
      <c r="G11" s="40">
        <v>2</v>
      </c>
      <c r="H11" s="6">
        <f t="shared" si="0"/>
        <v>8</v>
      </c>
      <c r="I11" s="6">
        <f>2*PI()*(0.00625)*C11*(F11/1000)</f>
        <v>0.41783182292744253</v>
      </c>
    </row>
    <row r="12" spans="2:12" x14ac:dyDescent="0.25">
      <c r="B12" s="6" t="s">
        <v>59</v>
      </c>
      <c r="C12" s="40">
        <v>6</v>
      </c>
      <c r="D12" s="40" t="s">
        <v>6</v>
      </c>
      <c r="E12" s="40" t="s">
        <v>7</v>
      </c>
      <c r="F12" s="40">
        <v>3210</v>
      </c>
      <c r="G12" s="40">
        <v>3</v>
      </c>
      <c r="H12" s="6">
        <f t="shared" si="0"/>
        <v>18</v>
      </c>
      <c r="I12" s="6">
        <f>2*PI()*(0.00625)*C12*(F12/1000)</f>
        <v>0.75633843135174272</v>
      </c>
    </row>
    <row r="13" spans="2:12" x14ac:dyDescent="0.25">
      <c r="B13" s="6" t="s">
        <v>68</v>
      </c>
      <c r="C13" s="39">
        <v>12</v>
      </c>
      <c r="D13" s="39" t="s">
        <v>8</v>
      </c>
      <c r="E13" s="39" t="s">
        <v>7</v>
      </c>
      <c r="F13" s="39">
        <v>1010</v>
      </c>
      <c r="G13" s="39">
        <v>2</v>
      </c>
      <c r="H13" s="6">
        <f t="shared" si="0"/>
        <v>24</v>
      </c>
      <c r="I13" s="6">
        <f>(0.044+0.044+0.003+0.003+0.041+0.041)*(F13/1000)*C13</f>
        <v>2.1331200000000003</v>
      </c>
    </row>
    <row r="14" spans="2:12" x14ac:dyDescent="0.25">
      <c r="B14" s="6" t="s">
        <v>68</v>
      </c>
      <c r="C14" s="39">
        <v>12</v>
      </c>
      <c r="D14" s="39" t="s">
        <v>8</v>
      </c>
      <c r="E14" s="39" t="s">
        <v>7</v>
      </c>
      <c r="F14" s="39">
        <v>1170</v>
      </c>
      <c r="G14" s="39">
        <v>2</v>
      </c>
      <c r="H14" s="6">
        <f t="shared" si="0"/>
        <v>24</v>
      </c>
      <c r="I14" s="6">
        <f>(0.044+0.044+0.003+0.003+0.041+0.041)*(F14/1000)*C14</f>
        <v>2.4710400000000003</v>
      </c>
    </row>
    <row r="15" spans="2:12" x14ac:dyDescent="0.25">
      <c r="B15" s="6" t="s">
        <v>60</v>
      </c>
      <c r="C15" s="53">
        <v>8</v>
      </c>
      <c r="D15" s="53" t="s">
        <v>9</v>
      </c>
      <c r="E15" s="53" t="s">
        <v>7</v>
      </c>
      <c r="F15" s="53">
        <v>660</v>
      </c>
      <c r="G15" s="53">
        <v>2</v>
      </c>
      <c r="H15" s="6">
        <f t="shared" si="0"/>
        <v>16</v>
      </c>
      <c r="I15" s="6">
        <f t="shared" ref="I15:I20" si="1">(0.137+0.05+0.05+0.002+0.002+0.048+0.048+0.132)*(F15/1000)*C15</f>
        <v>2.4763199999999999</v>
      </c>
    </row>
    <row r="16" spans="2:12" x14ac:dyDescent="0.25">
      <c r="B16" s="6" t="s">
        <v>60</v>
      </c>
      <c r="C16" s="53">
        <v>16</v>
      </c>
      <c r="D16" s="53" t="s">
        <v>9</v>
      </c>
      <c r="E16" s="53" t="s">
        <v>7</v>
      </c>
      <c r="F16" s="53">
        <v>720</v>
      </c>
      <c r="G16" s="53">
        <v>3</v>
      </c>
      <c r="H16" s="6">
        <f t="shared" si="0"/>
        <v>48</v>
      </c>
      <c r="I16" s="6">
        <f t="shared" si="1"/>
        <v>5.4028799999999997</v>
      </c>
      <c r="K16" s="6"/>
      <c r="L16" s="6"/>
    </row>
    <row r="17" spans="2:9" x14ac:dyDescent="0.25">
      <c r="B17" s="6" t="s">
        <v>60</v>
      </c>
      <c r="C17" s="53">
        <v>8</v>
      </c>
      <c r="D17" s="53" t="s">
        <v>9</v>
      </c>
      <c r="E17" s="53" t="s">
        <v>7</v>
      </c>
      <c r="F17" s="53">
        <v>770</v>
      </c>
      <c r="G17" s="53">
        <v>3</v>
      </c>
      <c r="H17" s="6">
        <f t="shared" si="0"/>
        <v>24</v>
      </c>
      <c r="I17" s="6">
        <f t="shared" si="1"/>
        <v>2.8890400000000001</v>
      </c>
    </row>
    <row r="18" spans="2:9" x14ac:dyDescent="0.25">
      <c r="B18" s="6" t="s">
        <v>60</v>
      </c>
      <c r="C18" s="53">
        <v>4</v>
      </c>
      <c r="D18" s="53" t="s">
        <v>9</v>
      </c>
      <c r="E18" s="53" t="s">
        <v>7</v>
      </c>
      <c r="F18" s="53">
        <v>850</v>
      </c>
      <c r="G18" s="53">
        <v>3</v>
      </c>
      <c r="H18" s="6">
        <f t="shared" si="0"/>
        <v>12</v>
      </c>
      <c r="I18" s="6">
        <f t="shared" si="1"/>
        <v>1.5945999999999998</v>
      </c>
    </row>
    <row r="19" spans="2:9" x14ac:dyDescent="0.25">
      <c r="B19" s="6" t="s">
        <v>60</v>
      </c>
      <c r="C19" s="53">
        <v>16</v>
      </c>
      <c r="D19" s="53" t="s">
        <v>9</v>
      </c>
      <c r="E19" s="53" t="s">
        <v>7</v>
      </c>
      <c r="F19" s="53">
        <v>1110</v>
      </c>
      <c r="G19" s="53">
        <v>4</v>
      </c>
      <c r="H19" s="6">
        <f t="shared" si="0"/>
        <v>64</v>
      </c>
      <c r="I19" s="6">
        <f t="shared" si="1"/>
        <v>8.32944</v>
      </c>
    </row>
    <row r="20" spans="2:9" x14ac:dyDescent="0.25">
      <c r="B20" s="6" t="s">
        <v>60</v>
      </c>
      <c r="C20" s="53">
        <v>8</v>
      </c>
      <c r="D20" s="53" t="s">
        <v>9</v>
      </c>
      <c r="E20" s="53" t="s">
        <v>7</v>
      </c>
      <c r="F20" s="53">
        <v>1180</v>
      </c>
      <c r="G20" s="53">
        <v>4</v>
      </c>
      <c r="H20" s="6">
        <f t="shared" si="0"/>
        <v>32</v>
      </c>
      <c r="I20" s="6">
        <f t="shared" si="1"/>
        <v>4.4273599999999993</v>
      </c>
    </row>
    <row r="21" spans="2:9" x14ac:dyDescent="0.25">
      <c r="B21" s="6" t="s">
        <v>60</v>
      </c>
      <c r="C21" s="53">
        <v>8</v>
      </c>
      <c r="D21" s="53" t="s">
        <v>10</v>
      </c>
      <c r="E21" s="53" t="s">
        <v>7</v>
      </c>
      <c r="F21" s="53">
        <v>3240</v>
      </c>
      <c r="G21" s="53">
        <v>34</v>
      </c>
      <c r="H21" s="6">
        <f t="shared" si="0"/>
        <v>272</v>
      </c>
      <c r="I21" s="6">
        <f>(0.15+0.07+0.07+0.00475+0.00475+0.06525+0.06525+0.1405)*(F21/1000)*C21</f>
        <v>14.787360000000001</v>
      </c>
    </row>
    <row r="22" spans="2:9" x14ac:dyDescent="0.25">
      <c r="B22" s="6" t="s">
        <v>60</v>
      </c>
      <c r="C22" s="53">
        <v>4</v>
      </c>
      <c r="D22" s="53" t="s">
        <v>17</v>
      </c>
      <c r="E22" s="53" t="s">
        <v>7</v>
      </c>
      <c r="F22" s="53">
        <v>6460</v>
      </c>
      <c r="G22" s="53">
        <v>89</v>
      </c>
      <c r="H22" s="6">
        <f t="shared" si="0"/>
        <v>356</v>
      </c>
      <c r="I22" s="6">
        <f>(0.15+0.07+0.07+0.00635+0.00635+0.06365+0.06365+0.1373)*(F22/1000)*C22</f>
        <v>14.659032</v>
      </c>
    </row>
    <row r="23" spans="2:9" x14ac:dyDescent="0.25">
      <c r="B23" s="6" t="s">
        <v>51</v>
      </c>
      <c r="C23" s="41">
        <v>6</v>
      </c>
      <c r="D23" s="41" t="s">
        <v>12</v>
      </c>
      <c r="E23" s="41" t="s">
        <v>7</v>
      </c>
      <c r="F23" s="41">
        <v>3110</v>
      </c>
      <c r="G23" s="41">
        <v>16</v>
      </c>
      <c r="H23" s="6">
        <f t="shared" si="0"/>
        <v>96</v>
      </c>
      <c r="I23" s="6">
        <f>(0.127+0.05+0.017+0.05+0.017+0.00265+0.00265+0.0447+0.0447+0.01435+0.01435+0.1217)*(F23/1000)*C23</f>
        <v>9.4438259999999996</v>
      </c>
    </row>
    <row r="24" spans="2:9" x14ac:dyDescent="0.25">
      <c r="B24" s="6" t="s">
        <v>51</v>
      </c>
      <c r="C24" s="41">
        <v>12</v>
      </c>
      <c r="D24" s="41" t="s">
        <v>12</v>
      </c>
      <c r="E24" s="41" t="s">
        <v>7</v>
      </c>
      <c r="F24" s="41">
        <v>4260</v>
      </c>
      <c r="G24" s="41">
        <v>22</v>
      </c>
      <c r="H24" s="6">
        <f t="shared" si="0"/>
        <v>264</v>
      </c>
      <c r="I24" s="6">
        <f>(0.127+0.05+0.017+0.05+0.017+0.00265+0.00265+0.0447+0.0447+0.01435+0.01435+0.1217)*(F24/1000)*C24</f>
        <v>25.871831999999998</v>
      </c>
    </row>
    <row r="25" spans="2:9" x14ac:dyDescent="0.25">
      <c r="B25" s="6" t="s">
        <v>60</v>
      </c>
      <c r="C25" s="53">
        <v>16</v>
      </c>
      <c r="D25" s="53" t="s">
        <v>13</v>
      </c>
      <c r="E25" s="53" t="s">
        <v>7</v>
      </c>
      <c r="F25" s="53">
        <v>160</v>
      </c>
      <c r="G25" s="53">
        <v>1</v>
      </c>
      <c r="H25" s="6">
        <f t="shared" si="0"/>
        <v>16</v>
      </c>
      <c r="I25" s="6">
        <f>(0.15+0.06+0.02+0.06+0.02+0.00304+0.00304+0.05392+0.05392+0.01696+0.01696+0.14392)*(F25/1000)*C25</f>
        <v>1.5405055999999999</v>
      </c>
    </row>
    <row r="26" spans="2:9" x14ac:dyDescent="0.25">
      <c r="B26" s="6" t="s">
        <v>60</v>
      </c>
      <c r="C26" s="53">
        <v>32</v>
      </c>
      <c r="D26" s="53" t="s">
        <v>13</v>
      </c>
      <c r="E26" s="53" t="s">
        <v>7</v>
      </c>
      <c r="F26" s="53">
        <v>550</v>
      </c>
      <c r="G26" s="53">
        <v>4</v>
      </c>
      <c r="H26" s="6">
        <f t="shared" si="0"/>
        <v>128</v>
      </c>
      <c r="I26" s="6">
        <f>(0.15+0.06+0.02+0.06+0.02+0.00304+0.00304+0.05392+0.05392+0.01696+0.01696+0.14392)*(F26/1000)*C26</f>
        <v>10.590976</v>
      </c>
    </row>
    <row r="27" spans="2:9" x14ac:dyDescent="0.25">
      <c r="B27" s="6" t="s">
        <v>60</v>
      </c>
      <c r="C27" s="53">
        <v>16</v>
      </c>
      <c r="D27" s="53" t="s">
        <v>13</v>
      </c>
      <c r="E27" s="53" t="s">
        <v>7</v>
      </c>
      <c r="F27" s="53">
        <v>670</v>
      </c>
      <c r="G27" s="53">
        <v>5</v>
      </c>
      <c r="H27" s="6">
        <f t="shared" si="0"/>
        <v>80</v>
      </c>
      <c r="I27" s="6">
        <f>(0.15+0.06+0.02+0.06+0.02+0.00304+0.00304+0.05392+0.05392+0.01696+0.01696+0.14392)*(F27/1000)*C27</f>
        <v>6.4508672000000002</v>
      </c>
    </row>
    <row r="29" spans="2:9" x14ac:dyDescent="0.25">
      <c r="D29" s="2"/>
      <c r="E29" s="3"/>
      <c r="F29" s="3"/>
      <c r="G29" s="4"/>
      <c r="H29" s="6">
        <f>SUM(H9:H27)</f>
        <v>1498</v>
      </c>
      <c r="I29" s="6">
        <f>SUM(I9:I27)</f>
        <v>114.99949288379433</v>
      </c>
    </row>
    <row r="30" spans="2:9" x14ac:dyDescent="0.25">
      <c r="D30" s="6"/>
      <c r="E30" s="6"/>
      <c r="F30" s="6"/>
      <c r="G30" s="6"/>
      <c r="H30" s="6"/>
    </row>
    <row r="31" spans="2:9" x14ac:dyDescent="0.25">
      <c r="D31" s="2" t="s">
        <v>16</v>
      </c>
      <c r="E31" s="3"/>
      <c r="F31" s="3"/>
      <c r="G31" s="4">
        <f>G29+H29</f>
        <v>1498</v>
      </c>
      <c r="H31" s="6"/>
    </row>
    <row r="33" spans="3:10" x14ac:dyDescent="0.25">
      <c r="C33" s="6"/>
      <c r="D33" s="6"/>
      <c r="E33" s="6"/>
      <c r="F33" s="6" t="s">
        <v>61</v>
      </c>
      <c r="G33" s="6" t="s">
        <v>62</v>
      </c>
    </row>
    <row r="34" spans="3:10" x14ac:dyDescent="0.25">
      <c r="C34" s="6" t="s">
        <v>66</v>
      </c>
      <c r="D34" s="6"/>
      <c r="E34" s="6"/>
      <c r="F34" s="6">
        <f>SUMIF($B$9:$B$27,"CONT",$H$9:$H$27)</f>
        <v>42</v>
      </c>
      <c r="G34" s="6">
        <f>SUMIF($B$9:$B$27,"CONT",$I$9:$I$27)</f>
        <v>1.9312940837943253</v>
      </c>
    </row>
    <row r="35" spans="3:10" x14ac:dyDescent="0.25">
      <c r="C35" s="6" t="s">
        <v>67</v>
      </c>
      <c r="D35" s="6"/>
      <c r="E35" s="6"/>
      <c r="F35" s="6">
        <f>SUMIF($B$9:$B$27,"CONTC",$H$9:$H$27)</f>
        <v>48</v>
      </c>
      <c r="G35" s="6">
        <f>SUMIF($B$9:$B$27,"CONTC",$I$9:$I$27)</f>
        <v>4.6041600000000003</v>
      </c>
    </row>
    <row r="36" spans="3:10" x14ac:dyDescent="0.25">
      <c r="C36" s="6" t="s">
        <v>56</v>
      </c>
      <c r="D36" s="6"/>
      <c r="E36" s="6"/>
      <c r="F36" s="6">
        <f>SUMIF($B$9:$B$27,"TRELICA",$H$9:$H$27)</f>
        <v>1048</v>
      </c>
      <c r="G36" s="6">
        <f>SUMIF($B$9:$B$27,"TRELICA",$I$9:$I$27)</f>
        <v>73.148380799999998</v>
      </c>
    </row>
    <row r="37" spans="3:10" x14ac:dyDescent="0.25">
      <c r="C37" s="6" t="s">
        <v>49</v>
      </c>
      <c r="D37" s="6"/>
      <c r="E37" s="6"/>
      <c r="F37" s="6"/>
      <c r="G37" s="6"/>
    </row>
    <row r="38" spans="3:10" x14ac:dyDescent="0.25">
      <c r="C38" s="6" t="s">
        <v>50</v>
      </c>
      <c r="D38" s="6"/>
      <c r="E38" s="6"/>
      <c r="F38" s="6"/>
      <c r="G38" s="6"/>
    </row>
    <row r="39" spans="3:10" x14ac:dyDescent="0.25">
      <c r="C39" s="6" t="s">
        <v>51</v>
      </c>
      <c r="D39" s="6"/>
      <c r="E39" s="6"/>
      <c r="F39" s="6">
        <f>SUMIF($B$9:$B$27,"TRAMA",$H$9:$H$27)</f>
        <v>360</v>
      </c>
      <c r="G39" s="6">
        <f>SUMIF($B$9:$B$27,"TRAMA",$I$9:$I$27)</f>
        <v>35.315657999999999</v>
      </c>
    </row>
    <row r="40" spans="3:10" ht="15.75" thickBot="1" x14ac:dyDescent="0.3"/>
    <row r="41" spans="3:10" ht="15.75" thickBot="1" x14ac:dyDescent="0.3">
      <c r="D41" s="11" t="s">
        <v>18</v>
      </c>
      <c r="E41" s="12"/>
      <c r="F41" s="12"/>
      <c r="G41" s="13"/>
    </row>
    <row r="42" spans="3:10" x14ac:dyDescent="0.25">
      <c r="D42" s="10" t="s">
        <v>20</v>
      </c>
      <c r="E42" s="10" t="s">
        <v>21</v>
      </c>
      <c r="F42" s="10" t="s">
        <v>1</v>
      </c>
      <c r="G42" s="10" t="s">
        <v>22</v>
      </c>
    </row>
    <row r="43" spans="3:10" x14ac:dyDescent="0.25">
      <c r="D43" s="8" t="s">
        <v>28</v>
      </c>
      <c r="E43" s="8">
        <v>11640</v>
      </c>
      <c r="F43" s="8">
        <v>2</v>
      </c>
      <c r="G43" s="9">
        <f>(H43+I43+I43)*J43*E43*7850*F43/1000000000</f>
        <v>130.20795000000001</v>
      </c>
      <c r="H43" s="6">
        <v>450</v>
      </c>
      <c r="I43" s="6">
        <v>150</v>
      </c>
      <c r="J43" s="6">
        <v>0.95</v>
      </c>
    </row>
    <row r="44" spans="3:10" x14ac:dyDescent="0.25">
      <c r="F44" s="6" t="s">
        <v>25</v>
      </c>
      <c r="G44" s="7">
        <f>SUM(G43:G43)</f>
        <v>130.20795000000001</v>
      </c>
    </row>
  </sheetData>
  <mergeCells count="1">
    <mergeCell ref="C5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521E-F0EF-44E8-A84E-E5B012836278}">
  <dimension ref="B1:K53"/>
  <sheetViews>
    <sheetView showGridLines="0" view="pageBreakPreview" topLeftCell="A13" zoomScale="90" zoomScaleNormal="100" zoomScaleSheetLayoutView="90" workbookViewId="0">
      <selection activeCell="B27" sqref="B27"/>
    </sheetView>
  </sheetViews>
  <sheetFormatPr defaultRowHeight="15" x14ac:dyDescent="0.25"/>
  <cols>
    <col min="3" max="3" width="4.7109375" bestFit="1" customWidth="1"/>
    <col min="4" max="4" width="17.42578125" bestFit="1" customWidth="1"/>
    <col min="5" max="5" width="7.140625" customWidth="1"/>
    <col min="6" max="6" width="13.7109375" bestFit="1" customWidth="1"/>
    <col min="8" max="8" width="7.85546875" customWidth="1"/>
    <col min="11" max="11" width="23.28515625" bestFit="1" customWidth="1"/>
    <col min="12" max="12" width="13.140625" bestFit="1" customWidth="1"/>
    <col min="13" max="13" width="10.5703125" bestFit="1" customWidth="1"/>
    <col min="14" max="14" width="5.5703125" bestFit="1" customWidth="1"/>
  </cols>
  <sheetData>
    <row r="1" spans="2:9" s="6" customFormat="1" x14ac:dyDescent="0.25"/>
    <row r="2" spans="2:9" s="6" customFormat="1" ht="30" x14ac:dyDescent="0.25">
      <c r="C2" s="48"/>
      <c r="D2" s="59" t="s">
        <v>70</v>
      </c>
      <c r="E2" s="50"/>
      <c r="F2" s="6" t="s">
        <v>56</v>
      </c>
      <c r="G2" s="43"/>
      <c r="H2" s="6" t="s">
        <v>49</v>
      </c>
    </row>
    <row r="3" spans="2:9" ht="30" x14ac:dyDescent="0.25">
      <c r="C3" s="47"/>
      <c r="D3" s="59" t="s">
        <v>71</v>
      </c>
      <c r="E3" s="46"/>
      <c r="F3" s="6" t="s">
        <v>51</v>
      </c>
      <c r="G3" s="45"/>
      <c r="H3" s="6" t="s">
        <v>50</v>
      </c>
    </row>
    <row r="5" spans="2:9" x14ac:dyDescent="0.25">
      <c r="C5" s="192" t="s">
        <v>0</v>
      </c>
      <c r="D5" s="192"/>
      <c r="E5" s="192"/>
      <c r="F5" s="192"/>
      <c r="G5" s="192"/>
      <c r="H5" s="6"/>
    </row>
    <row r="6" spans="2:9" x14ac:dyDescent="0.25">
      <c r="C6" s="6"/>
      <c r="D6" s="6"/>
      <c r="E6" s="6"/>
      <c r="F6" s="6"/>
      <c r="G6" s="6"/>
      <c r="H6" s="6"/>
    </row>
    <row r="7" spans="2:9" ht="45" x14ac:dyDescent="0.25"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2" t="s">
        <v>57</v>
      </c>
      <c r="I7" s="52" t="s">
        <v>58</v>
      </c>
    </row>
    <row r="8" spans="2:9" x14ac:dyDescent="0.25">
      <c r="C8" s="6"/>
      <c r="D8" s="6"/>
      <c r="E8" s="6"/>
      <c r="F8" s="6"/>
      <c r="G8" s="6"/>
      <c r="H8" s="6"/>
    </row>
    <row r="9" spans="2:9" x14ac:dyDescent="0.25">
      <c r="B9" s="6" t="s">
        <v>59</v>
      </c>
      <c r="C9" s="40">
        <v>4</v>
      </c>
      <c r="D9" s="40" t="s">
        <v>6</v>
      </c>
      <c r="E9" s="40" t="s">
        <v>7</v>
      </c>
      <c r="F9" s="40">
        <v>2410</v>
      </c>
      <c r="G9" s="40">
        <v>2</v>
      </c>
      <c r="H9" s="6">
        <f>G9*C9</f>
        <v>8</v>
      </c>
      <c r="I9" s="6">
        <f>2*PI()*(0.00625)*C9*(F9/1000)</f>
        <v>0.37856191475757012</v>
      </c>
    </row>
    <row r="10" spans="2:9" x14ac:dyDescent="0.25">
      <c r="B10" s="6" t="s">
        <v>59</v>
      </c>
      <c r="C10" s="40">
        <v>16</v>
      </c>
      <c r="D10" s="40" t="s">
        <v>6</v>
      </c>
      <c r="E10" s="40" t="s">
        <v>7</v>
      </c>
      <c r="F10" s="40">
        <v>2480</v>
      </c>
      <c r="G10" s="40">
        <v>2</v>
      </c>
      <c r="H10" s="6">
        <f t="shared" ref="H10:H35" si="0">G10*C10</f>
        <v>32</v>
      </c>
      <c r="I10" s="6">
        <f>2*PI()*(0.00625)*C10*(F10/1000)</f>
        <v>1.5582299561805373</v>
      </c>
    </row>
    <row r="11" spans="2:9" x14ac:dyDescent="0.25">
      <c r="B11" s="6" t="s">
        <v>59</v>
      </c>
      <c r="C11" s="40">
        <v>10</v>
      </c>
      <c r="D11" s="40" t="s">
        <v>6</v>
      </c>
      <c r="E11" s="40" t="s">
        <v>7</v>
      </c>
      <c r="F11" s="40">
        <v>4260</v>
      </c>
      <c r="G11" s="40">
        <v>3</v>
      </c>
      <c r="H11" s="6">
        <f t="shared" si="0"/>
        <v>30</v>
      </c>
      <c r="I11" s="6">
        <f>2*PI()*(0.00625)*C11*(F11/1000)</f>
        <v>1.6728980880365647</v>
      </c>
    </row>
    <row r="12" spans="2:9" x14ac:dyDescent="0.25">
      <c r="B12" s="6" t="s">
        <v>68</v>
      </c>
      <c r="C12" s="39">
        <v>20</v>
      </c>
      <c r="D12" s="39" t="s">
        <v>8</v>
      </c>
      <c r="E12" s="39" t="s">
        <v>7</v>
      </c>
      <c r="F12" s="39">
        <v>710</v>
      </c>
      <c r="G12" s="39">
        <v>1</v>
      </c>
      <c r="H12" s="6">
        <f t="shared" si="0"/>
        <v>20</v>
      </c>
      <c r="I12" s="6">
        <f>(0.044+0.044+0.003+0.003+0.041+0.041)*(F12/1000)*C12</f>
        <v>2.4992000000000001</v>
      </c>
    </row>
    <row r="13" spans="2:9" x14ac:dyDescent="0.25">
      <c r="B13" s="6" t="s">
        <v>68</v>
      </c>
      <c r="C13" s="39">
        <v>20</v>
      </c>
      <c r="D13" s="39" t="s">
        <v>8</v>
      </c>
      <c r="E13" s="39" t="s">
        <v>7</v>
      </c>
      <c r="F13" s="39">
        <v>870</v>
      </c>
      <c r="G13" s="39">
        <v>2</v>
      </c>
      <c r="H13" s="6">
        <f t="shared" si="0"/>
        <v>40</v>
      </c>
      <c r="I13" s="6">
        <f>(0.044+0.044+0.003+0.003+0.041+0.041)*(F13/1000)*C13</f>
        <v>3.0624000000000002</v>
      </c>
    </row>
    <row r="14" spans="2:9" x14ac:dyDescent="0.25">
      <c r="B14" s="6" t="s">
        <v>68</v>
      </c>
      <c r="C14" s="39">
        <v>20</v>
      </c>
      <c r="D14" s="39" t="s">
        <v>8</v>
      </c>
      <c r="E14" s="39" t="s">
        <v>7</v>
      </c>
      <c r="F14" s="39">
        <v>1030</v>
      </c>
      <c r="G14" s="39">
        <v>2</v>
      </c>
      <c r="H14" s="6">
        <f t="shared" si="0"/>
        <v>40</v>
      </c>
      <c r="I14" s="6">
        <f>(0.044+0.044+0.003+0.003+0.041+0.041)*(F14/1000)*C14</f>
        <v>3.6256000000000004</v>
      </c>
    </row>
    <row r="15" spans="2:9" x14ac:dyDescent="0.25">
      <c r="B15" s="6" t="s">
        <v>60</v>
      </c>
      <c r="C15" s="53">
        <v>14</v>
      </c>
      <c r="D15" s="53" t="s">
        <v>9</v>
      </c>
      <c r="E15" s="53" t="s">
        <v>7</v>
      </c>
      <c r="F15" s="53">
        <v>500</v>
      </c>
      <c r="G15" s="53">
        <v>2</v>
      </c>
      <c r="H15" s="6">
        <f t="shared" si="0"/>
        <v>28</v>
      </c>
      <c r="I15" s="6">
        <f t="shared" ref="I15:I24" si="1">(0.137+0.05+0.05+0.002+0.002+0.048+0.048+0.132)*(F15/1000)*C15</f>
        <v>3.2829999999999999</v>
      </c>
    </row>
    <row r="16" spans="2:9" x14ac:dyDescent="0.25">
      <c r="B16" s="6" t="s">
        <v>60</v>
      </c>
      <c r="C16" s="53">
        <v>14</v>
      </c>
      <c r="D16" s="53" t="s">
        <v>9</v>
      </c>
      <c r="E16" s="53" t="s">
        <v>7</v>
      </c>
      <c r="F16" s="53">
        <v>560</v>
      </c>
      <c r="G16" s="53">
        <v>2</v>
      </c>
      <c r="H16" s="6">
        <f t="shared" si="0"/>
        <v>28</v>
      </c>
      <c r="I16" s="6">
        <f t="shared" si="1"/>
        <v>3.6769599999999998</v>
      </c>
    </row>
    <row r="17" spans="2:9" x14ac:dyDescent="0.25">
      <c r="B17" s="6" t="s">
        <v>60</v>
      </c>
      <c r="C17" s="53">
        <v>14</v>
      </c>
      <c r="D17" s="53" t="s">
        <v>9</v>
      </c>
      <c r="E17" s="53" t="s">
        <v>7</v>
      </c>
      <c r="F17" s="53">
        <v>570</v>
      </c>
      <c r="G17" s="53">
        <v>2</v>
      </c>
      <c r="H17" s="6">
        <f t="shared" si="0"/>
        <v>28</v>
      </c>
      <c r="I17" s="6">
        <f t="shared" si="1"/>
        <v>3.7426199999999996</v>
      </c>
    </row>
    <row r="18" spans="2:9" x14ac:dyDescent="0.25">
      <c r="B18" s="6" t="s">
        <v>60</v>
      </c>
      <c r="C18" s="53">
        <v>14</v>
      </c>
      <c r="D18" s="53" t="s">
        <v>9</v>
      </c>
      <c r="E18" s="53" t="s">
        <v>7</v>
      </c>
      <c r="F18" s="53">
        <v>600</v>
      </c>
      <c r="G18" s="53">
        <v>2</v>
      </c>
      <c r="H18" s="6">
        <f t="shared" si="0"/>
        <v>28</v>
      </c>
      <c r="I18" s="6">
        <f t="shared" si="1"/>
        <v>3.9395999999999995</v>
      </c>
    </row>
    <row r="19" spans="2:9" x14ac:dyDescent="0.25">
      <c r="B19" s="6" t="s">
        <v>60</v>
      </c>
      <c r="C19" s="53">
        <v>14</v>
      </c>
      <c r="D19" s="53" t="s">
        <v>9</v>
      </c>
      <c r="E19" s="53" t="s">
        <v>7</v>
      </c>
      <c r="F19" s="53">
        <v>620</v>
      </c>
      <c r="G19" s="53">
        <v>2</v>
      </c>
      <c r="H19" s="6">
        <f t="shared" si="0"/>
        <v>28</v>
      </c>
      <c r="I19" s="6">
        <f t="shared" si="1"/>
        <v>4.0709200000000001</v>
      </c>
    </row>
    <row r="20" spans="2:9" x14ac:dyDescent="0.25">
      <c r="B20" s="6" t="s">
        <v>60</v>
      </c>
      <c r="C20" s="53">
        <v>14</v>
      </c>
      <c r="D20" s="53" t="s">
        <v>9</v>
      </c>
      <c r="E20" s="53" t="s">
        <v>7</v>
      </c>
      <c r="F20" s="53">
        <v>670</v>
      </c>
      <c r="G20" s="53">
        <v>2</v>
      </c>
      <c r="H20" s="6">
        <f t="shared" si="0"/>
        <v>28</v>
      </c>
      <c r="I20" s="6">
        <f t="shared" si="1"/>
        <v>4.3992199999999997</v>
      </c>
    </row>
    <row r="21" spans="2:9" x14ac:dyDescent="0.25">
      <c r="B21" s="6" t="s">
        <v>60</v>
      </c>
      <c r="C21" s="53">
        <v>7</v>
      </c>
      <c r="D21" s="53" t="s">
        <v>9</v>
      </c>
      <c r="E21" s="53" t="s">
        <v>7</v>
      </c>
      <c r="F21" s="53">
        <v>750</v>
      </c>
      <c r="G21" s="53">
        <v>3</v>
      </c>
      <c r="H21" s="6">
        <f t="shared" si="0"/>
        <v>21</v>
      </c>
      <c r="I21" s="6">
        <f t="shared" si="1"/>
        <v>2.46225</v>
      </c>
    </row>
    <row r="22" spans="2:9" x14ac:dyDescent="0.25">
      <c r="B22" s="6" t="s">
        <v>60</v>
      </c>
      <c r="C22" s="53">
        <v>14</v>
      </c>
      <c r="D22" s="53" t="s">
        <v>9</v>
      </c>
      <c r="E22" s="53" t="s">
        <v>7</v>
      </c>
      <c r="F22" s="53">
        <v>990</v>
      </c>
      <c r="G22" s="53">
        <v>4</v>
      </c>
      <c r="H22" s="6">
        <f t="shared" si="0"/>
        <v>56</v>
      </c>
      <c r="I22" s="6">
        <f t="shared" si="1"/>
        <v>6.5003399999999996</v>
      </c>
    </row>
    <row r="23" spans="2:9" x14ac:dyDescent="0.25">
      <c r="B23" s="6" t="s">
        <v>60</v>
      </c>
      <c r="C23" s="53">
        <v>28</v>
      </c>
      <c r="D23" s="53" t="s">
        <v>9</v>
      </c>
      <c r="E23" s="53" t="s">
        <v>7</v>
      </c>
      <c r="F23" s="53">
        <v>1050</v>
      </c>
      <c r="G23" s="53">
        <v>4</v>
      </c>
      <c r="H23" s="6">
        <f t="shared" si="0"/>
        <v>112</v>
      </c>
      <c r="I23" s="6">
        <f t="shared" si="1"/>
        <v>13.788600000000001</v>
      </c>
    </row>
    <row r="24" spans="2:9" x14ac:dyDescent="0.25">
      <c r="B24" s="6" t="s">
        <v>60</v>
      </c>
      <c r="C24" s="53">
        <v>14</v>
      </c>
      <c r="D24" s="53" t="s">
        <v>9</v>
      </c>
      <c r="E24" s="53" t="s">
        <v>7</v>
      </c>
      <c r="F24" s="53">
        <v>1120</v>
      </c>
      <c r="G24" s="53">
        <v>4</v>
      </c>
      <c r="H24" s="6">
        <f t="shared" si="0"/>
        <v>56</v>
      </c>
      <c r="I24" s="6">
        <f t="shared" si="1"/>
        <v>7.3539199999999996</v>
      </c>
    </row>
    <row r="25" spans="2:9" x14ac:dyDescent="0.25">
      <c r="B25" s="6" t="s">
        <v>60</v>
      </c>
      <c r="C25" s="53">
        <v>14</v>
      </c>
      <c r="D25" s="53" t="s">
        <v>10</v>
      </c>
      <c r="E25" s="53" t="s">
        <v>7</v>
      </c>
      <c r="F25" s="53">
        <v>4240</v>
      </c>
      <c r="G25" s="53">
        <v>44</v>
      </c>
      <c r="H25" s="6">
        <f t="shared" si="0"/>
        <v>616</v>
      </c>
      <c r="I25" s="6">
        <f>(0.15+0.07+0.07+0.00475+0.00475+0.06525+0.06525+0.1405)*(F25/1000)*C25</f>
        <v>33.864879999999999</v>
      </c>
    </row>
    <row r="26" spans="2:9" x14ac:dyDescent="0.25">
      <c r="B26" s="6" t="s">
        <v>60</v>
      </c>
      <c r="C26" s="53">
        <v>7</v>
      </c>
      <c r="D26" s="53" t="s">
        <v>17</v>
      </c>
      <c r="E26" s="53" t="s">
        <v>7</v>
      </c>
      <c r="F26" s="53">
        <v>8460</v>
      </c>
      <c r="G26" s="53">
        <v>117</v>
      </c>
      <c r="H26" s="6">
        <f t="shared" si="0"/>
        <v>819</v>
      </c>
      <c r="I26" s="6">
        <f>(0.15+0.07+0.07+0.00635+0.00635+0.06365+0.06365+0.1373)*(F26/1000)*C26</f>
        <v>33.595506000000007</v>
      </c>
    </row>
    <row r="27" spans="2:9" x14ac:dyDescent="0.25">
      <c r="B27" s="6" t="s">
        <v>51</v>
      </c>
      <c r="C27" s="41">
        <v>8</v>
      </c>
      <c r="D27" s="41" t="s">
        <v>12</v>
      </c>
      <c r="E27" s="41" t="s">
        <v>7</v>
      </c>
      <c r="F27" s="41">
        <v>3660</v>
      </c>
      <c r="G27" s="41">
        <v>19</v>
      </c>
      <c r="H27" s="6">
        <f t="shared" si="0"/>
        <v>152</v>
      </c>
      <c r="I27" s="6">
        <f>(0.127+0.05+0.017+0.05+0.017+0.00265+0.00265+0.0447+0.0447+0.01435+0.01435+0.1217)*(F27/1000)*C27</f>
        <v>14.818608000000001</v>
      </c>
    </row>
    <row r="28" spans="2:9" x14ac:dyDescent="0.25">
      <c r="B28" s="6" t="s">
        <v>51</v>
      </c>
      <c r="C28" s="41">
        <v>8</v>
      </c>
      <c r="D28" s="41" t="s">
        <v>12</v>
      </c>
      <c r="E28" s="41" t="s">
        <v>7</v>
      </c>
      <c r="F28" s="41">
        <v>3670</v>
      </c>
      <c r="G28" s="41">
        <v>19</v>
      </c>
      <c r="H28" s="6">
        <f t="shared" si="0"/>
        <v>152</v>
      </c>
      <c r="I28" s="6">
        <f>(0.127+0.05+0.017+0.05+0.017+0.00265+0.00265+0.0447+0.0447+0.01435+0.01435+0.1217)*(F28/1000)*C28</f>
        <v>14.859095999999999</v>
      </c>
    </row>
    <row r="29" spans="2:9" x14ac:dyDescent="0.25">
      <c r="B29" s="6" t="s">
        <v>51</v>
      </c>
      <c r="C29" s="41">
        <v>4</v>
      </c>
      <c r="D29" s="41" t="s">
        <v>12</v>
      </c>
      <c r="E29" s="41" t="s">
        <v>7</v>
      </c>
      <c r="F29" s="41">
        <v>4050</v>
      </c>
      <c r="G29" s="41">
        <v>21</v>
      </c>
      <c r="H29" s="6">
        <f t="shared" si="0"/>
        <v>84</v>
      </c>
      <c r="I29" s="6">
        <f>(0.127+0.05+0.017+0.05+0.017+0.00265+0.00265+0.0447+0.0447+0.01435+0.01435+0.1217)*(F29/1000)*C29</f>
        <v>8.1988199999999996</v>
      </c>
    </row>
    <row r="30" spans="2:9" x14ac:dyDescent="0.25">
      <c r="B30" s="6" t="s">
        <v>51</v>
      </c>
      <c r="C30" s="41">
        <v>4</v>
      </c>
      <c r="D30" s="41" t="s">
        <v>12</v>
      </c>
      <c r="E30" s="41" t="s">
        <v>7</v>
      </c>
      <c r="F30" s="41">
        <v>4070</v>
      </c>
      <c r="G30" s="41">
        <v>21</v>
      </c>
      <c r="H30" s="6">
        <f t="shared" si="0"/>
        <v>84</v>
      </c>
      <c r="I30" s="6">
        <f>(0.127+0.05+0.017+0.05+0.017+0.00265+0.00265+0.0447+0.0447+0.01435+0.01435+0.1217)*(F30/1000)*C30</f>
        <v>8.2393080000000012</v>
      </c>
    </row>
    <row r="31" spans="2:9" x14ac:dyDescent="0.25">
      <c r="B31" s="6" t="s">
        <v>51</v>
      </c>
      <c r="C31" s="41">
        <v>16</v>
      </c>
      <c r="D31" s="41" t="s">
        <v>12</v>
      </c>
      <c r="E31" s="41" t="s">
        <v>7</v>
      </c>
      <c r="F31" s="41">
        <v>4130</v>
      </c>
      <c r="G31" s="41">
        <v>21</v>
      </c>
      <c r="H31" s="6">
        <f t="shared" si="0"/>
        <v>336</v>
      </c>
      <c r="I31" s="6">
        <f>(0.127+0.05+0.017+0.05+0.017+0.00265+0.00265+0.0447+0.0447+0.01435+0.01435+0.1217)*(F31/1000)*C31</f>
        <v>33.443087999999996</v>
      </c>
    </row>
    <row r="32" spans="2:9" x14ac:dyDescent="0.25">
      <c r="B32" s="6" t="s">
        <v>60</v>
      </c>
      <c r="C32" s="53">
        <v>28</v>
      </c>
      <c r="D32" s="53" t="s">
        <v>13</v>
      </c>
      <c r="E32" s="53" t="s">
        <v>7</v>
      </c>
      <c r="F32" s="53">
        <v>120</v>
      </c>
      <c r="G32" s="53">
        <v>1</v>
      </c>
      <c r="H32" s="6">
        <f t="shared" si="0"/>
        <v>28</v>
      </c>
      <c r="I32" s="6">
        <f>(0.15+0.06+0.02+0.06+0.02+0.00304+0.00304+0.05392+0.05392+0.01696+0.01696+0.14392)*(F32/1000)*C32</f>
        <v>2.0219135999999995</v>
      </c>
    </row>
    <row r="33" spans="2:9" x14ac:dyDescent="0.25">
      <c r="B33" s="6" t="s">
        <v>60</v>
      </c>
      <c r="C33" s="53">
        <v>14</v>
      </c>
      <c r="D33" s="53" t="s">
        <v>13</v>
      </c>
      <c r="E33" s="53" t="s">
        <v>7</v>
      </c>
      <c r="F33" s="53">
        <v>510</v>
      </c>
      <c r="G33" s="53">
        <v>4</v>
      </c>
      <c r="H33" s="6">
        <f t="shared" si="0"/>
        <v>56</v>
      </c>
      <c r="I33" s="6">
        <f>(0.15+0.06+0.02+0.06+0.02+0.00304+0.00304+0.05392+0.05392+0.01696+0.01696+0.14392)*(F33/1000)*C33</f>
        <v>4.2965663999999997</v>
      </c>
    </row>
    <row r="34" spans="2:9" x14ac:dyDescent="0.25">
      <c r="B34" s="6" t="s">
        <v>60</v>
      </c>
      <c r="C34" s="53">
        <v>14</v>
      </c>
      <c r="D34" s="53" t="s">
        <v>13</v>
      </c>
      <c r="E34" s="53" t="s">
        <v>7</v>
      </c>
      <c r="F34" s="53">
        <v>520</v>
      </c>
      <c r="G34" s="53">
        <v>4</v>
      </c>
      <c r="H34" s="6">
        <f t="shared" si="0"/>
        <v>56</v>
      </c>
      <c r="I34" s="6">
        <f>(0.15+0.06+0.02+0.06+0.02+0.00304+0.00304+0.05392+0.05392+0.01696+0.01696+0.14392)*(F34/1000)*C34</f>
        <v>4.3808128000000002</v>
      </c>
    </row>
    <row r="35" spans="2:9" x14ac:dyDescent="0.25">
      <c r="B35" s="6" t="s">
        <v>60</v>
      </c>
      <c r="C35" s="53">
        <v>56</v>
      </c>
      <c r="D35" s="53" t="s">
        <v>13</v>
      </c>
      <c r="E35" s="53" t="s">
        <v>7</v>
      </c>
      <c r="F35" s="53">
        <v>550</v>
      </c>
      <c r="G35" s="53">
        <v>4</v>
      </c>
      <c r="H35" s="6">
        <f t="shared" si="0"/>
        <v>224</v>
      </c>
      <c r="I35" s="6">
        <f>(0.15+0.06+0.02+0.06+0.02+0.00304+0.00304+0.05392+0.05392+0.01696+0.01696+0.14392)*(F35/1000)*C35</f>
        <v>18.534208</v>
      </c>
    </row>
    <row r="37" spans="2:9" x14ac:dyDescent="0.25">
      <c r="D37" s="2"/>
      <c r="E37" s="3"/>
      <c r="F37" s="3"/>
      <c r="G37" s="4"/>
      <c r="H37">
        <f>SUM(H9:H35)</f>
        <v>3190</v>
      </c>
      <c r="I37" s="6">
        <f>SUM(I9:I35)</f>
        <v>242.26712675897468</v>
      </c>
    </row>
    <row r="38" spans="2:9" x14ac:dyDescent="0.25">
      <c r="D38" s="6"/>
      <c r="E38" s="6"/>
      <c r="F38" s="6"/>
      <c r="G38" s="6"/>
    </row>
    <row r="39" spans="2:9" x14ac:dyDescent="0.25">
      <c r="D39" s="2" t="s">
        <v>16</v>
      </c>
      <c r="E39" s="3"/>
      <c r="F39" s="3"/>
      <c r="G39" s="4">
        <f>G37+H37</f>
        <v>3190</v>
      </c>
    </row>
    <row r="41" spans="2:9" x14ac:dyDescent="0.25">
      <c r="C41" s="6"/>
      <c r="D41" s="6"/>
      <c r="E41" s="6"/>
      <c r="F41" s="6" t="s">
        <v>61</v>
      </c>
      <c r="G41" s="6" t="s">
        <v>62</v>
      </c>
    </row>
    <row r="42" spans="2:9" x14ac:dyDescent="0.25">
      <c r="C42" s="6" t="s">
        <v>66</v>
      </c>
      <c r="D42" s="6"/>
      <c r="E42" s="6"/>
      <c r="F42" s="6">
        <f>SUMIF($B$9:$B$35,"CONT",$H$9:$H$35)</f>
        <v>70</v>
      </c>
      <c r="G42" s="6">
        <f>SUMIF($B$9:$B$35,"CONT",$I$9:$I$35)</f>
        <v>3.609689958974672</v>
      </c>
    </row>
    <row r="43" spans="2:9" x14ac:dyDescent="0.25">
      <c r="C43" s="6" t="s">
        <v>67</v>
      </c>
      <c r="D43" s="6"/>
      <c r="E43" s="6"/>
      <c r="F43" s="6">
        <f>SUMIF($B$9:$B$35,"CONTC",$H$9:$H$35)</f>
        <v>100</v>
      </c>
      <c r="G43" s="6">
        <f>SUMIF($B$9:$B$35,"CONTC",$I$9:$I$35)</f>
        <v>9.1872000000000007</v>
      </c>
    </row>
    <row r="44" spans="2:9" x14ac:dyDescent="0.25">
      <c r="C44" s="6" t="s">
        <v>56</v>
      </c>
      <c r="D44" s="6"/>
      <c r="E44" s="6"/>
      <c r="F44" s="6">
        <f>SUMIF($B$9:$B$35,"TRELICA",$H$9:$H$35)</f>
        <v>2212</v>
      </c>
      <c r="G44" s="6">
        <f>SUMIF($B$9:$B$35,"TRELICA",$I$9:$I$35)</f>
        <v>149.91131680000001</v>
      </c>
    </row>
    <row r="45" spans="2:9" x14ac:dyDescent="0.25">
      <c r="C45" s="6" t="s">
        <v>49</v>
      </c>
      <c r="D45" s="6"/>
      <c r="E45" s="6"/>
      <c r="F45" s="6"/>
      <c r="G45" s="6"/>
    </row>
    <row r="46" spans="2:9" x14ac:dyDescent="0.25">
      <c r="C46" s="6" t="s">
        <v>50</v>
      </c>
      <c r="D46" s="6"/>
      <c r="E46" s="6"/>
      <c r="F46" s="6"/>
      <c r="G46" s="6"/>
    </row>
    <row r="47" spans="2:9" x14ac:dyDescent="0.25">
      <c r="C47" s="6" t="s">
        <v>51</v>
      </c>
      <c r="D47" s="6"/>
      <c r="E47" s="6"/>
      <c r="F47" s="6">
        <f>SUMIF($B$9:$B$35,"TRAMA",$H$9:$H$35)</f>
        <v>808</v>
      </c>
      <c r="G47" s="6">
        <f>SUMIF($B$9:$B$35,"TRAMA",$I$9:$I$35)</f>
        <v>79.558920000000001</v>
      </c>
    </row>
    <row r="48" spans="2:9" ht="15.75" thickBot="1" x14ac:dyDescent="0.3"/>
    <row r="49" spans="4:11" ht="15.75" thickBot="1" x14ac:dyDescent="0.3">
      <c r="D49" s="11" t="s">
        <v>18</v>
      </c>
      <c r="E49" s="12"/>
      <c r="F49" s="12"/>
      <c r="G49" s="13"/>
      <c r="H49" s="6"/>
      <c r="I49" s="6"/>
      <c r="J49" s="6"/>
      <c r="K49" s="6"/>
    </row>
    <row r="50" spans="4:11" x14ac:dyDescent="0.25">
      <c r="D50" s="10" t="s">
        <v>20</v>
      </c>
      <c r="E50" s="10" t="s">
        <v>21</v>
      </c>
      <c r="F50" s="10" t="s">
        <v>1</v>
      </c>
      <c r="G50" s="10" t="s">
        <v>22</v>
      </c>
      <c r="H50" s="6"/>
      <c r="I50" s="6"/>
      <c r="J50" s="6"/>
      <c r="K50" s="6"/>
    </row>
    <row r="51" spans="4:11" x14ac:dyDescent="0.25">
      <c r="D51" s="8" t="s">
        <v>28</v>
      </c>
      <c r="E51" s="8">
        <v>7800</v>
      </c>
      <c r="F51" s="8">
        <v>2</v>
      </c>
      <c r="G51" s="9">
        <f>(H51+I51+I51)*J51*E51*7850*F51/1000000000</f>
        <v>87.252750000000006</v>
      </c>
      <c r="H51" s="6">
        <v>450</v>
      </c>
      <c r="I51" s="6">
        <v>150</v>
      </c>
      <c r="J51" s="6">
        <v>0.95</v>
      </c>
    </row>
    <row r="52" spans="4:11" x14ac:dyDescent="0.25">
      <c r="D52" s="8" t="s">
        <v>28</v>
      </c>
      <c r="E52" s="8">
        <v>11820</v>
      </c>
      <c r="F52" s="8">
        <v>2</v>
      </c>
      <c r="G52" s="9">
        <f>(H52+I52+I52)*J52*E52*7850*F52/1000000000</f>
        <v>132.221475</v>
      </c>
      <c r="H52" s="6">
        <v>450</v>
      </c>
      <c r="I52" s="6">
        <v>150</v>
      </c>
      <c r="J52" s="6">
        <v>0.95</v>
      </c>
    </row>
    <row r="53" spans="4:11" x14ac:dyDescent="0.25">
      <c r="D53" s="6"/>
      <c r="E53" s="6"/>
      <c r="F53" s="6" t="s">
        <v>25</v>
      </c>
      <c r="G53" s="7">
        <f>SUM(G51:G52)</f>
        <v>219.47422499999999</v>
      </c>
      <c r="H53" s="6"/>
      <c r="I53" s="6"/>
      <c r="J53" s="6"/>
      <c r="K53" s="6"/>
    </row>
  </sheetData>
  <mergeCells count="1">
    <mergeCell ref="C5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77F64-DBF6-4A54-8564-52843597BA81}">
  <dimension ref="B1:S70"/>
  <sheetViews>
    <sheetView showGridLines="0" view="pageBreakPreview" topLeftCell="A34" zoomScaleNormal="100" zoomScaleSheetLayoutView="100" workbookViewId="0">
      <selection activeCell="B43" sqref="B43"/>
    </sheetView>
  </sheetViews>
  <sheetFormatPr defaultRowHeight="15" x14ac:dyDescent="0.25"/>
  <cols>
    <col min="3" max="3" width="4.7109375" bestFit="1" customWidth="1"/>
    <col min="4" max="4" width="17.42578125" bestFit="1" customWidth="1"/>
    <col min="5" max="5" width="4.85546875" bestFit="1" customWidth="1"/>
    <col min="6" max="6" width="13.7109375" bestFit="1" customWidth="1"/>
    <col min="8" max="8" width="8.5703125" customWidth="1"/>
    <col min="11" max="11" width="23.28515625" bestFit="1" customWidth="1"/>
    <col min="12" max="12" width="13.140625" bestFit="1" customWidth="1"/>
    <col min="13" max="13" width="10.5703125" bestFit="1" customWidth="1"/>
    <col min="14" max="14" width="5.5703125" bestFit="1" customWidth="1"/>
    <col min="16" max="17" width="4" bestFit="1" customWidth="1"/>
    <col min="18" max="18" width="5" bestFit="1" customWidth="1"/>
  </cols>
  <sheetData>
    <row r="1" spans="2:19" s="6" customFormat="1" x14ac:dyDescent="0.25"/>
    <row r="2" spans="2:19" s="6" customFormat="1" ht="30" x14ac:dyDescent="0.25">
      <c r="C2" s="48"/>
      <c r="D2" s="59" t="s">
        <v>70</v>
      </c>
      <c r="E2" s="50"/>
      <c r="F2" s="6" t="s">
        <v>56</v>
      </c>
      <c r="G2" s="43"/>
      <c r="H2" s="6" t="s">
        <v>49</v>
      </c>
    </row>
    <row r="3" spans="2:19" ht="30" x14ac:dyDescent="0.25">
      <c r="C3" s="47"/>
      <c r="D3" s="59" t="s">
        <v>71</v>
      </c>
      <c r="E3" s="46"/>
      <c r="F3" s="6" t="s">
        <v>51</v>
      </c>
      <c r="G3" s="45"/>
      <c r="H3" s="6" t="s">
        <v>50</v>
      </c>
    </row>
    <row r="5" spans="2:19" x14ac:dyDescent="0.25">
      <c r="C5" s="192" t="s">
        <v>0</v>
      </c>
      <c r="D5" s="192"/>
      <c r="E5" s="192"/>
      <c r="F5" s="192"/>
      <c r="G5" s="192"/>
      <c r="H5" s="6"/>
    </row>
    <row r="6" spans="2:19" x14ac:dyDescent="0.25">
      <c r="C6" s="6"/>
      <c r="D6" s="6"/>
      <c r="E6" s="6"/>
      <c r="F6" s="6"/>
      <c r="G6" s="6"/>
      <c r="H6" s="6"/>
    </row>
    <row r="7" spans="2:19" ht="45" x14ac:dyDescent="0.25"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2" t="s">
        <v>57</v>
      </c>
      <c r="I7" s="52" t="s">
        <v>58</v>
      </c>
    </row>
    <row r="8" spans="2:19" x14ac:dyDescent="0.25">
      <c r="C8" s="6"/>
      <c r="D8" s="6"/>
      <c r="E8" s="6"/>
      <c r="F8" s="6"/>
      <c r="G8" s="6"/>
      <c r="H8" s="6"/>
    </row>
    <row r="9" spans="2:19" x14ac:dyDescent="0.25">
      <c r="B9" s="6" t="s">
        <v>59</v>
      </c>
      <c r="C9" s="40">
        <v>2</v>
      </c>
      <c r="D9" s="40" t="s">
        <v>6</v>
      </c>
      <c r="E9" s="40" t="s">
        <v>7</v>
      </c>
      <c r="F9" s="40">
        <v>2490</v>
      </c>
      <c r="G9" s="40">
        <v>2</v>
      </c>
      <c r="H9" s="6">
        <f>G9*C9</f>
        <v>4</v>
      </c>
      <c r="I9" s="6">
        <f t="shared" ref="I9:I19" si="0">2*PI()*(0.00625)*C9*(F9/1000)</f>
        <v>0.19556414268596464</v>
      </c>
    </row>
    <row r="10" spans="2:19" x14ac:dyDescent="0.25">
      <c r="B10" s="6" t="s">
        <v>59</v>
      </c>
      <c r="C10" s="40">
        <v>3</v>
      </c>
      <c r="D10" s="40" t="s">
        <v>6</v>
      </c>
      <c r="E10" s="40" t="s">
        <v>7</v>
      </c>
      <c r="F10" s="40">
        <v>2550</v>
      </c>
      <c r="G10" s="40">
        <v>2</v>
      </c>
      <c r="H10" s="6">
        <f t="shared" ref="H10:H53" si="1">G10*C10</f>
        <v>6</v>
      </c>
      <c r="I10" s="6">
        <f t="shared" si="0"/>
        <v>0.30041479749952393</v>
      </c>
    </row>
    <row r="11" spans="2:19" x14ac:dyDescent="0.25">
      <c r="B11" s="6" t="s">
        <v>59</v>
      </c>
      <c r="C11" s="40">
        <v>2</v>
      </c>
      <c r="D11" s="40" t="s">
        <v>6</v>
      </c>
      <c r="E11" s="40" t="s">
        <v>7</v>
      </c>
      <c r="F11" s="40">
        <v>2590</v>
      </c>
      <c r="G11" s="40">
        <v>2</v>
      </c>
      <c r="H11" s="6">
        <f t="shared" si="1"/>
        <v>4</v>
      </c>
      <c r="I11" s="6">
        <f t="shared" si="0"/>
        <v>0.20341812431993908</v>
      </c>
      <c r="S11" s="6"/>
    </row>
    <row r="12" spans="2:19" x14ac:dyDescent="0.25">
      <c r="B12" s="6" t="s">
        <v>59</v>
      </c>
      <c r="C12" s="40">
        <v>3</v>
      </c>
      <c r="D12" s="40" t="s">
        <v>6</v>
      </c>
      <c r="E12" s="40" t="s">
        <v>7</v>
      </c>
      <c r="F12" s="40">
        <v>2620</v>
      </c>
      <c r="G12" s="40">
        <v>2</v>
      </c>
      <c r="H12" s="6">
        <f t="shared" si="1"/>
        <v>6</v>
      </c>
      <c r="I12" s="6">
        <f t="shared" si="0"/>
        <v>0.30866147821519718</v>
      </c>
      <c r="S12" s="6"/>
    </row>
    <row r="13" spans="2:19" x14ac:dyDescent="0.25">
      <c r="B13" s="6" t="s">
        <v>59</v>
      </c>
      <c r="C13" s="40">
        <v>4</v>
      </c>
      <c r="D13" s="40" t="s">
        <v>6</v>
      </c>
      <c r="E13" s="40" t="s">
        <v>7</v>
      </c>
      <c r="F13" s="40">
        <v>2630</v>
      </c>
      <c r="G13" s="40">
        <v>2</v>
      </c>
      <c r="H13" s="6">
        <f t="shared" si="1"/>
        <v>8</v>
      </c>
      <c r="I13" s="6">
        <f t="shared" si="0"/>
        <v>0.4131194339470578</v>
      </c>
      <c r="S13" s="6"/>
    </row>
    <row r="14" spans="2:19" x14ac:dyDescent="0.25">
      <c r="B14" s="6" t="s">
        <v>59</v>
      </c>
      <c r="C14" s="40">
        <v>2</v>
      </c>
      <c r="D14" s="40" t="s">
        <v>6</v>
      </c>
      <c r="E14" s="40" t="s">
        <v>7</v>
      </c>
      <c r="F14" s="40">
        <v>2640</v>
      </c>
      <c r="G14" s="40">
        <v>2</v>
      </c>
      <c r="H14" s="6">
        <f t="shared" si="1"/>
        <v>4</v>
      </c>
      <c r="I14" s="6">
        <f t="shared" si="0"/>
        <v>0.20734511513692636</v>
      </c>
      <c r="S14" s="6"/>
    </row>
    <row r="15" spans="2:19" x14ac:dyDescent="0.25">
      <c r="B15" s="6" t="s">
        <v>59</v>
      </c>
      <c r="C15" s="40">
        <v>2</v>
      </c>
      <c r="D15" s="40" t="s">
        <v>6</v>
      </c>
      <c r="E15" s="40" t="s">
        <v>7</v>
      </c>
      <c r="F15" s="40">
        <v>2700</v>
      </c>
      <c r="G15" s="40">
        <v>2</v>
      </c>
      <c r="H15" s="6">
        <f t="shared" si="1"/>
        <v>4</v>
      </c>
      <c r="I15" s="6">
        <f t="shared" si="0"/>
        <v>0.21205750411731106</v>
      </c>
    </row>
    <row r="16" spans="2:19" x14ac:dyDescent="0.25">
      <c r="B16" s="6" t="s">
        <v>59</v>
      </c>
      <c r="C16" s="40">
        <v>2</v>
      </c>
      <c r="D16" s="40" t="s">
        <v>6</v>
      </c>
      <c r="E16" s="40" t="s">
        <v>7</v>
      </c>
      <c r="F16" s="40">
        <v>2730</v>
      </c>
      <c r="G16" s="40">
        <v>2</v>
      </c>
      <c r="H16" s="6">
        <f t="shared" si="1"/>
        <v>4</v>
      </c>
      <c r="I16" s="6">
        <f t="shared" si="0"/>
        <v>0.21441369860750337</v>
      </c>
    </row>
    <row r="17" spans="2:9" x14ac:dyDescent="0.25">
      <c r="B17" s="6" t="s">
        <v>59</v>
      </c>
      <c r="C17" s="40">
        <v>4</v>
      </c>
      <c r="D17" s="40" t="s">
        <v>6</v>
      </c>
      <c r="E17" s="40" t="s">
        <v>7</v>
      </c>
      <c r="F17" s="40">
        <v>3250</v>
      </c>
      <c r="G17" s="40">
        <v>3</v>
      </c>
      <c r="H17" s="6">
        <f t="shared" si="1"/>
        <v>12</v>
      </c>
      <c r="I17" s="6">
        <f t="shared" si="0"/>
        <v>0.51050880620834138</v>
      </c>
    </row>
    <row r="18" spans="2:9" x14ac:dyDescent="0.25">
      <c r="B18" s="6" t="s">
        <v>59</v>
      </c>
      <c r="C18" s="40">
        <v>2</v>
      </c>
      <c r="D18" s="40" t="s">
        <v>6</v>
      </c>
      <c r="E18" s="40" t="s">
        <v>7</v>
      </c>
      <c r="F18" s="40">
        <v>3520</v>
      </c>
      <c r="G18" s="40">
        <v>3</v>
      </c>
      <c r="H18" s="6">
        <f t="shared" si="1"/>
        <v>6</v>
      </c>
      <c r="I18" s="6">
        <f t="shared" si="0"/>
        <v>0.27646015351590181</v>
      </c>
    </row>
    <row r="19" spans="2:9" x14ac:dyDescent="0.25">
      <c r="B19" s="6" t="s">
        <v>59</v>
      </c>
      <c r="C19" s="40">
        <v>4</v>
      </c>
      <c r="D19" s="40" t="s">
        <v>6</v>
      </c>
      <c r="E19" s="40" t="s">
        <v>7</v>
      </c>
      <c r="F19" s="40">
        <v>5350</v>
      </c>
      <c r="G19" s="40">
        <v>4</v>
      </c>
      <c r="H19" s="6">
        <f t="shared" si="1"/>
        <v>16</v>
      </c>
      <c r="I19" s="6">
        <f t="shared" si="0"/>
        <v>0.84037603483526957</v>
      </c>
    </row>
    <row r="20" spans="2:9" x14ac:dyDescent="0.25">
      <c r="B20" s="6" t="s">
        <v>68</v>
      </c>
      <c r="C20" s="39">
        <v>19</v>
      </c>
      <c r="D20" s="39" t="s">
        <v>8</v>
      </c>
      <c r="E20" s="39" t="s">
        <v>7</v>
      </c>
      <c r="F20" s="39">
        <v>860</v>
      </c>
      <c r="G20" s="39">
        <v>2</v>
      </c>
      <c r="H20" s="6">
        <f t="shared" si="1"/>
        <v>38</v>
      </c>
      <c r="I20" s="6">
        <f>(0.044+0.044+0.003+0.003+0.041+0.041)*(F20/1000)*C20</f>
        <v>2.8758400000000006</v>
      </c>
    </row>
    <row r="21" spans="2:9" x14ac:dyDescent="0.25">
      <c r="B21" s="6" t="s">
        <v>68</v>
      </c>
      <c r="C21" s="39">
        <v>11</v>
      </c>
      <c r="D21" s="39" t="s">
        <v>8</v>
      </c>
      <c r="E21" s="39" t="s">
        <v>7</v>
      </c>
      <c r="F21" s="39">
        <v>940</v>
      </c>
      <c r="G21" s="39">
        <v>2</v>
      </c>
      <c r="H21" s="6">
        <f t="shared" si="1"/>
        <v>22</v>
      </c>
      <c r="I21" s="6">
        <f>(0.044+0.044+0.003+0.003+0.041+0.041)*(F21/1000)*C21</f>
        <v>1.8198400000000001</v>
      </c>
    </row>
    <row r="22" spans="2:9" x14ac:dyDescent="0.25">
      <c r="B22" s="6" t="s">
        <v>68</v>
      </c>
      <c r="C22" s="39">
        <v>10</v>
      </c>
      <c r="D22" s="39" t="s">
        <v>8</v>
      </c>
      <c r="E22" s="39" t="s">
        <v>7</v>
      </c>
      <c r="F22" s="39">
        <v>1040</v>
      </c>
      <c r="G22" s="39">
        <v>2</v>
      </c>
      <c r="H22" s="6">
        <f t="shared" si="1"/>
        <v>20</v>
      </c>
      <c r="I22" s="6">
        <f>(0.044+0.044+0.003+0.003+0.041+0.041)*(F22/1000)*C22</f>
        <v>1.8304000000000005</v>
      </c>
    </row>
    <row r="23" spans="2:9" x14ac:dyDescent="0.25">
      <c r="B23" s="6" t="s">
        <v>60</v>
      </c>
      <c r="C23" s="53">
        <v>11</v>
      </c>
      <c r="D23" s="53" t="s">
        <v>9</v>
      </c>
      <c r="E23" s="53" t="s">
        <v>7</v>
      </c>
      <c r="F23" s="53">
        <v>540</v>
      </c>
      <c r="G23" s="53">
        <v>2</v>
      </c>
      <c r="H23" s="6">
        <f t="shared" si="1"/>
        <v>22</v>
      </c>
      <c r="I23" s="6">
        <f t="shared" ref="I23:I33" si="2">(0.137+0.05+0.05+0.002+0.002+0.048+0.048+0.132)*(F23/1000)*C23</f>
        <v>2.78586</v>
      </c>
    </row>
    <row r="24" spans="2:9" x14ac:dyDescent="0.25">
      <c r="B24" s="6" t="s">
        <v>60</v>
      </c>
      <c r="C24" s="53">
        <v>12</v>
      </c>
      <c r="D24" s="53" t="s">
        <v>9</v>
      </c>
      <c r="E24" s="53" t="s">
        <v>7</v>
      </c>
      <c r="F24" s="53">
        <v>600</v>
      </c>
      <c r="G24" s="53">
        <v>2</v>
      </c>
      <c r="H24" s="6">
        <f t="shared" si="1"/>
        <v>24</v>
      </c>
      <c r="I24" s="6">
        <f t="shared" si="2"/>
        <v>3.3767999999999998</v>
      </c>
    </row>
    <row r="25" spans="2:9" x14ac:dyDescent="0.25">
      <c r="B25" s="6" t="s">
        <v>60</v>
      </c>
      <c r="C25" s="53">
        <v>12</v>
      </c>
      <c r="D25" s="53" t="s">
        <v>9</v>
      </c>
      <c r="E25" s="53" t="s">
        <v>7</v>
      </c>
      <c r="F25" s="53">
        <v>640</v>
      </c>
      <c r="G25" s="53">
        <v>2</v>
      </c>
      <c r="H25" s="6">
        <f t="shared" si="1"/>
        <v>24</v>
      </c>
      <c r="I25" s="6">
        <f t="shared" si="2"/>
        <v>3.6019199999999998</v>
      </c>
    </row>
    <row r="26" spans="2:9" x14ac:dyDescent="0.25">
      <c r="B26" s="6" t="s">
        <v>60</v>
      </c>
      <c r="C26" s="53">
        <v>12</v>
      </c>
      <c r="D26" s="53" t="s">
        <v>9</v>
      </c>
      <c r="E26" s="53" t="s">
        <v>7</v>
      </c>
      <c r="F26" s="53">
        <v>660</v>
      </c>
      <c r="G26" s="53">
        <v>2</v>
      </c>
      <c r="H26" s="6">
        <f t="shared" si="1"/>
        <v>24</v>
      </c>
      <c r="I26" s="6">
        <f t="shared" si="2"/>
        <v>3.71448</v>
      </c>
    </row>
    <row r="27" spans="2:9" x14ac:dyDescent="0.25">
      <c r="B27" s="6" t="s">
        <v>60</v>
      </c>
      <c r="C27" s="53">
        <v>6</v>
      </c>
      <c r="D27" s="53" t="s">
        <v>9</v>
      </c>
      <c r="E27" s="53" t="s">
        <v>7</v>
      </c>
      <c r="F27" s="53">
        <v>720</v>
      </c>
      <c r="G27" s="53">
        <v>3</v>
      </c>
      <c r="H27" s="6">
        <f t="shared" si="1"/>
        <v>18</v>
      </c>
      <c r="I27" s="6">
        <f t="shared" si="2"/>
        <v>2.0260799999999999</v>
      </c>
    </row>
    <row r="28" spans="2:9" x14ac:dyDescent="0.25">
      <c r="B28" s="6" t="s">
        <v>60</v>
      </c>
      <c r="C28" s="53">
        <v>8</v>
      </c>
      <c r="D28" s="53" t="s">
        <v>9</v>
      </c>
      <c r="E28" s="53" t="s">
        <v>7</v>
      </c>
      <c r="F28" s="53">
        <v>770</v>
      </c>
      <c r="G28" s="53">
        <v>3</v>
      </c>
      <c r="H28" s="6">
        <f t="shared" si="1"/>
        <v>24</v>
      </c>
      <c r="I28" s="6">
        <f t="shared" si="2"/>
        <v>2.8890400000000001</v>
      </c>
    </row>
    <row r="29" spans="2:9" x14ac:dyDescent="0.25">
      <c r="B29" s="6" t="s">
        <v>60</v>
      </c>
      <c r="C29" s="53">
        <v>4</v>
      </c>
      <c r="D29" s="53" t="s">
        <v>9</v>
      </c>
      <c r="E29" s="53" t="s">
        <v>7</v>
      </c>
      <c r="F29" s="53">
        <v>850</v>
      </c>
      <c r="G29" s="53">
        <v>3</v>
      </c>
      <c r="H29" s="6">
        <f t="shared" si="1"/>
        <v>12</v>
      </c>
      <c r="I29" s="6">
        <f t="shared" si="2"/>
        <v>1.5945999999999998</v>
      </c>
    </row>
    <row r="30" spans="2:9" x14ac:dyDescent="0.25">
      <c r="B30" s="6" t="s">
        <v>60</v>
      </c>
      <c r="C30" s="53">
        <v>6</v>
      </c>
      <c r="D30" s="53" t="s">
        <v>9</v>
      </c>
      <c r="E30" s="53" t="s">
        <v>7</v>
      </c>
      <c r="F30" s="53">
        <v>980</v>
      </c>
      <c r="G30" s="53">
        <v>4</v>
      </c>
      <c r="H30" s="6">
        <f t="shared" si="1"/>
        <v>24</v>
      </c>
      <c r="I30" s="6">
        <f t="shared" si="2"/>
        <v>2.7577199999999999</v>
      </c>
    </row>
    <row r="31" spans="2:9" x14ac:dyDescent="0.25">
      <c r="B31" s="6" t="s">
        <v>60</v>
      </c>
      <c r="C31" s="53">
        <v>24</v>
      </c>
      <c r="D31" s="53" t="s">
        <v>9</v>
      </c>
      <c r="E31" s="53" t="s">
        <v>7</v>
      </c>
      <c r="F31" s="53">
        <v>1040</v>
      </c>
      <c r="G31" s="53">
        <v>4</v>
      </c>
      <c r="H31" s="6">
        <f t="shared" si="1"/>
        <v>96</v>
      </c>
      <c r="I31" s="6">
        <f t="shared" si="2"/>
        <v>11.706239999999999</v>
      </c>
    </row>
    <row r="32" spans="2:9" x14ac:dyDescent="0.25">
      <c r="B32" s="6" t="s">
        <v>60</v>
      </c>
      <c r="C32" s="53">
        <v>14</v>
      </c>
      <c r="D32" s="53" t="s">
        <v>9</v>
      </c>
      <c r="E32" s="53" t="s">
        <v>7</v>
      </c>
      <c r="F32" s="53">
        <v>1110</v>
      </c>
      <c r="G32" s="53">
        <v>4</v>
      </c>
      <c r="H32" s="6">
        <f t="shared" si="1"/>
        <v>56</v>
      </c>
      <c r="I32" s="6">
        <f t="shared" si="2"/>
        <v>7.2882600000000002</v>
      </c>
    </row>
    <row r="33" spans="2:9" x14ac:dyDescent="0.25">
      <c r="B33" s="6" t="s">
        <v>60</v>
      </c>
      <c r="C33" s="53">
        <v>8</v>
      </c>
      <c r="D33" s="53" t="s">
        <v>9</v>
      </c>
      <c r="E33" s="53" t="s">
        <v>7</v>
      </c>
      <c r="F33" s="53">
        <v>1180</v>
      </c>
      <c r="G33" s="53">
        <v>4</v>
      </c>
      <c r="H33" s="6">
        <f t="shared" si="1"/>
        <v>32</v>
      </c>
      <c r="I33" s="6">
        <f t="shared" si="2"/>
        <v>4.4273599999999993</v>
      </c>
    </row>
    <row r="34" spans="2:9" x14ac:dyDescent="0.25">
      <c r="B34" s="6" t="s">
        <v>60</v>
      </c>
      <c r="C34" s="53">
        <v>6</v>
      </c>
      <c r="D34" s="53" t="s">
        <v>10</v>
      </c>
      <c r="E34" s="53" t="s">
        <v>7</v>
      </c>
      <c r="F34" s="53">
        <v>740</v>
      </c>
      <c r="G34" s="53">
        <v>7</v>
      </c>
      <c r="H34" s="6">
        <f t="shared" si="1"/>
        <v>42</v>
      </c>
      <c r="I34" s="6">
        <f>(0.15+0.07+0.07+0.00475+0.00475+0.06525+0.06525+0.1405)*(F34/1000)*C34</f>
        <v>2.53302</v>
      </c>
    </row>
    <row r="35" spans="2:9" x14ac:dyDescent="0.25">
      <c r="B35" s="6" t="s">
        <v>60</v>
      </c>
      <c r="C35" s="53">
        <v>1</v>
      </c>
      <c r="D35" s="53" t="s">
        <v>10</v>
      </c>
      <c r="E35" s="53" t="s">
        <v>7</v>
      </c>
      <c r="F35" s="53">
        <v>2250</v>
      </c>
      <c r="G35" s="53">
        <v>24</v>
      </c>
      <c r="H35" s="6">
        <f t="shared" si="1"/>
        <v>24</v>
      </c>
      <c r="I35" s="6">
        <f>(0.15+0.07+0.07+0.00475+0.00475+0.06525+0.06525+0.1405)*(F35/1000)*C35</f>
        <v>1.283625</v>
      </c>
    </row>
    <row r="36" spans="2:9" x14ac:dyDescent="0.25">
      <c r="B36" s="6" t="s">
        <v>60</v>
      </c>
      <c r="C36" s="53">
        <v>1</v>
      </c>
      <c r="D36" s="53" t="s">
        <v>10</v>
      </c>
      <c r="E36" s="53" t="s">
        <v>7</v>
      </c>
      <c r="F36" s="53">
        <v>2310</v>
      </c>
      <c r="G36" s="53">
        <v>24</v>
      </c>
      <c r="H36" s="6">
        <f t="shared" si="1"/>
        <v>24</v>
      </c>
      <c r="I36" s="6">
        <f>(0.15+0.07+0.07+0.00475+0.00475+0.06525+0.06525+0.1405)*(F36/1000)*C36</f>
        <v>1.317855</v>
      </c>
    </row>
    <row r="37" spans="2:9" x14ac:dyDescent="0.25">
      <c r="B37" s="6" t="s">
        <v>60</v>
      </c>
      <c r="C37" s="53">
        <v>6</v>
      </c>
      <c r="D37" s="53" t="s">
        <v>10</v>
      </c>
      <c r="E37" s="53" t="s">
        <v>7</v>
      </c>
      <c r="F37" s="53">
        <v>3140</v>
      </c>
      <c r="G37" s="53">
        <v>33</v>
      </c>
      <c r="H37" s="6">
        <f t="shared" si="1"/>
        <v>198</v>
      </c>
      <c r="I37" s="6">
        <f>(0.15+0.07+0.07+0.00475+0.00475+0.06525+0.06525+0.1405)*(F37/1000)*C37</f>
        <v>10.74822</v>
      </c>
    </row>
    <row r="38" spans="2:9" x14ac:dyDescent="0.25">
      <c r="B38" s="6" t="s">
        <v>60</v>
      </c>
      <c r="C38" s="53">
        <v>6</v>
      </c>
      <c r="D38" s="53" t="s">
        <v>10</v>
      </c>
      <c r="E38" s="53" t="s">
        <v>7</v>
      </c>
      <c r="F38" s="53">
        <v>5240</v>
      </c>
      <c r="G38" s="53">
        <v>55</v>
      </c>
      <c r="H38" s="6">
        <f t="shared" si="1"/>
        <v>330</v>
      </c>
      <c r="I38" s="6">
        <f>(0.15+0.07+0.07+0.00475+0.00475+0.06525+0.06525+0.1405)*(F38/1000)*C38</f>
        <v>17.936520000000002</v>
      </c>
    </row>
    <row r="39" spans="2:9" x14ac:dyDescent="0.25">
      <c r="B39" s="6" t="s">
        <v>60</v>
      </c>
      <c r="C39" s="53">
        <v>2</v>
      </c>
      <c r="D39" s="53" t="s">
        <v>17</v>
      </c>
      <c r="E39" s="53" t="s">
        <v>7</v>
      </c>
      <c r="F39" s="53">
        <v>720</v>
      </c>
      <c r="G39" s="53">
        <v>10</v>
      </c>
      <c r="H39" s="6">
        <f t="shared" si="1"/>
        <v>20</v>
      </c>
      <c r="I39" s="6">
        <f>(0.15+0.07+0.07+0.00635+0.00635+0.06365+0.06365+0.1373)*(F39/1000)*C39</f>
        <v>0.81691199999999997</v>
      </c>
    </row>
    <row r="40" spans="2:9" x14ac:dyDescent="0.25">
      <c r="B40" s="6" t="s">
        <v>60</v>
      </c>
      <c r="C40" s="53">
        <v>6</v>
      </c>
      <c r="D40" s="53" t="s">
        <v>17</v>
      </c>
      <c r="E40" s="53" t="s">
        <v>7</v>
      </c>
      <c r="F40" s="53">
        <v>3130</v>
      </c>
      <c r="G40" s="53">
        <v>43</v>
      </c>
      <c r="H40" s="6">
        <f t="shared" si="1"/>
        <v>258</v>
      </c>
      <c r="I40" s="6">
        <f>(0.15+0.07+0.07+0.00635+0.00635+0.06365+0.06365+0.1373)*(F40/1000)*C40</f>
        <v>10.653894000000001</v>
      </c>
    </row>
    <row r="41" spans="2:9" x14ac:dyDescent="0.25">
      <c r="B41" s="6" t="s">
        <v>60</v>
      </c>
      <c r="C41" s="53">
        <v>1</v>
      </c>
      <c r="D41" s="53" t="s">
        <v>17</v>
      </c>
      <c r="E41" s="53" t="s">
        <v>7</v>
      </c>
      <c r="F41" s="53">
        <v>3880</v>
      </c>
      <c r="G41" s="53">
        <v>54</v>
      </c>
      <c r="H41" s="6">
        <f t="shared" si="1"/>
        <v>54</v>
      </c>
      <c r="I41" s="6">
        <f>(0.15+0.07+0.07+0.00635+0.00635+0.06365+0.06365+0.1373)*(F41/1000)*C41</f>
        <v>2.2011240000000001</v>
      </c>
    </row>
    <row r="42" spans="2:9" x14ac:dyDescent="0.25">
      <c r="B42" s="6" t="s">
        <v>60</v>
      </c>
      <c r="C42" s="53">
        <v>3</v>
      </c>
      <c r="D42" s="53" t="s">
        <v>17</v>
      </c>
      <c r="E42" s="53" t="s">
        <v>7</v>
      </c>
      <c r="F42" s="53">
        <v>10460</v>
      </c>
      <c r="G42" s="53">
        <v>145</v>
      </c>
      <c r="H42" s="6">
        <f t="shared" si="1"/>
        <v>435</v>
      </c>
      <c r="I42" s="6">
        <f>(0.15+0.07+0.07+0.00635+0.00635+0.06365+0.06365+0.1373)*(F42/1000)*C42</f>
        <v>17.801874000000002</v>
      </c>
    </row>
    <row r="43" spans="2:9" x14ac:dyDescent="0.25">
      <c r="B43" s="6" t="s">
        <v>51</v>
      </c>
      <c r="C43" s="41">
        <v>4</v>
      </c>
      <c r="D43" s="41" t="s">
        <v>12</v>
      </c>
      <c r="E43" s="41" t="s">
        <v>7</v>
      </c>
      <c r="F43" s="41">
        <v>2160</v>
      </c>
      <c r="G43" s="41">
        <v>11</v>
      </c>
      <c r="H43" s="6">
        <f t="shared" si="1"/>
        <v>44</v>
      </c>
      <c r="I43" s="6">
        <f t="shared" ref="I43:I50" si="3">(0.127+0.05+0.017+0.05+0.017+0.00265+0.00265+0.0447+0.0447+0.01435+0.01435+0.1217)*(F43/1000)*C43</f>
        <v>4.3727040000000006</v>
      </c>
    </row>
    <row r="44" spans="2:9" x14ac:dyDescent="0.25">
      <c r="B44" s="6" t="s">
        <v>51</v>
      </c>
      <c r="C44" s="41">
        <v>4</v>
      </c>
      <c r="D44" s="41" t="s">
        <v>12</v>
      </c>
      <c r="E44" s="41" t="s">
        <v>7</v>
      </c>
      <c r="F44" s="41">
        <v>3760</v>
      </c>
      <c r="G44" s="41">
        <v>20</v>
      </c>
      <c r="H44" s="6">
        <f t="shared" si="1"/>
        <v>80</v>
      </c>
      <c r="I44" s="6">
        <f t="shared" si="3"/>
        <v>7.6117439999999998</v>
      </c>
    </row>
    <row r="45" spans="2:9" x14ac:dyDescent="0.25">
      <c r="B45" s="6" t="s">
        <v>51</v>
      </c>
      <c r="C45" s="41">
        <v>8</v>
      </c>
      <c r="D45" s="41" t="s">
        <v>12</v>
      </c>
      <c r="E45" s="41" t="s">
        <v>7</v>
      </c>
      <c r="F45" s="41">
        <v>3770</v>
      </c>
      <c r="G45" s="41">
        <v>20</v>
      </c>
      <c r="H45" s="6">
        <f t="shared" si="1"/>
        <v>160</v>
      </c>
      <c r="I45" s="6">
        <f t="shared" si="3"/>
        <v>15.263976</v>
      </c>
    </row>
    <row r="46" spans="2:9" x14ac:dyDescent="0.25">
      <c r="B46" s="6" t="s">
        <v>51</v>
      </c>
      <c r="C46" s="41">
        <v>2</v>
      </c>
      <c r="D46" s="41" t="s">
        <v>12</v>
      </c>
      <c r="E46" s="41" t="s">
        <v>7</v>
      </c>
      <c r="F46" s="41">
        <v>4120</v>
      </c>
      <c r="G46" s="41">
        <v>21</v>
      </c>
      <c r="H46" s="6">
        <f t="shared" si="1"/>
        <v>42</v>
      </c>
      <c r="I46" s="6">
        <f t="shared" si="3"/>
        <v>4.1702640000000004</v>
      </c>
    </row>
    <row r="47" spans="2:9" x14ac:dyDescent="0.25">
      <c r="B47" s="6" t="s">
        <v>51</v>
      </c>
      <c r="C47" s="41">
        <v>2</v>
      </c>
      <c r="D47" s="41" t="s">
        <v>12</v>
      </c>
      <c r="E47" s="41" t="s">
        <v>7</v>
      </c>
      <c r="F47" s="41">
        <v>4130</v>
      </c>
      <c r="G47" s="41">
        <v>21</v>
      </c>
      <c r="H47" s="6">
        <f t="shared" si="1"/>
        <v>42</v>
      </c>
      <c r="I47" s="6">
        <f t="shared" si="3"/>
        <v>4.1803859999999995</v>
      </c>
    </row>
    <row r="48" spans="2:9" x14ac:dyDescent="0.25">
      <c r="B48" s="6" t="s">
        <v>51</v>
      </c>
      <c r="C48" s="41">
        <v>8</v>
      </c>
      <c r="D48" s="41" t="s">
        <v>12</v>
      </c>
      <c r="E48" s="41" t="s">
        <v>7</v>
      </c>
      <c r="F48" s="41">
        <v>4140</v>
      </c>
      <c r="G48" s="41">
        <v>22</v>
      </c>
      <c r="H48" s="6">
        <f t="shared" si="1"/>
        <v>176</v>
      </c>
      <c r="I48" s="6">
        <f t="shared" si="3"/>
        <v>16.762031999999998</v>
      </c>
    </row>
    <row r="49" spans="2:9" x14ac:dyDescent="0.25">
      <c r="B49" s="6" t="s">
        <v>51</v>
      </c>
      <c r="C49" s="41">
        <v>6</v>
      </c>
      <c r="D49" s="41" t="s">
        <v>12</v>
      </c>
      <c r="E49" s="41" t="s">
        <v>7</v>
      </c>
      <c r="F49" s="41">
        <v>4400</v>
      </c>
      <c r="G49" s="41">
        <v>23</v>
      </c>
      <c r="H49" s="6">
        <f t="shared" si="1"/>
        <v>138</v>
      </c>
      <c r="I49" s="6">
        <f t="shared" si="3"/>
        <v>13.361040000000001</v>
      </c>
    </row>
    <row r="50" spans="2:9" x14ac:dyDescent="0.25">
      <c r="B50" s="6" t="s">
        <v>51</v>
      </c>
      <c r="C50" s="41">
        <v>2</v>
      </c>
      <c r="D50" s="41" t="s">
        <v>12</v>
      </c>
      <c r="E50" s="41" t="s">
        <v>7</v>
      </c>
      <c r="F50" s="41">
        <v>5730</v>
      </c>
      <c r="G50" s="41">
        <v>30</v>
      </c>
      <c r="H50" s="6">
        <f t="shared" si="1"/>
        <v>60</v>
      </c>
      <c r="I50" s="6">
        <f t="shared" si="3"/>
        <v>5.799906</v>
      </c>
    </row>
    <row r="51" spans="2:9" x14ac:dyDescent="0.25">
      <c r="B51" s="6" t="s">
        <v>60</v>
      </c>
      <c r="C51" s="53">
        <v>24</v>
      </c>
      <c r="D51" s="53" t="s">
        <v>13</v>
      </c>
      <c r="E51" s="53" t="s">
        <v>7</v>
      </c>
      <c r="F51" s="53">
        <v>160</v>
      </c>
      <c r="G51" s="53">
        <v>1</v>
      </c>
      <c r="H51" s="6">
        <f t="shared" si="1"/>
        <v>24</v>
      </c>
      <c r="I51" s="6">
        <f>(0.15+0.06+0.02+0.06+0.02+0.00304+0.00304+0.05392+0.05392+0.01696+0.01696+0.14392)*(F51/1000)*C51</f>
        <v>2.3107584000000001</v>
      </c>
    </row>
    <row r="52" spans="2:9" x14ac:dyDescent="0.25">
      <c r="B52" s="6" t="s">
        <v>60</v>
      </c>
      <c r="C52" s="53">
        <v>54</v>
      </c>
      <c r="D52" s="53" t="s">
        <v>13</v>
      </c>
      <c r="E52" s="53" t="s">
        <v>7</v>
      </c>
      <c r="F52" s="53">
        <v>550</v>
      </c>
      <c r="G52" s="53">
        <v>4</v>
      </c>
      <c r="H52" s="6">
        <f t="shared" si="1"/>
        <v>216</v>
      </c>
      <c r="I52" s="6">
        <f>(0.15+0.06+0.02+0.06+0.02+0.00304+0.00304+0.05392+0.05392+0.01696+0.01696+0.14392)*(F52/1000)*C52</f>
        <v>17.872271999999999</v>
      </c>
    </row>
    <row r="53" spans="2:9" x14ac:dyDescent="0.25">
      <c r="B53" s="6" t="s">
        <v>60</v>
      </c>
      <c r="C53" s="53">
        <v>18</v>
      </c>
      <c r="D53" s="53" t="s">
        <v>13</v>
      </c>
      <c r="E53" s="53" t="s">
        <v>7</v>
      </c>
      <c r="F53" s="53">
        <v>560</v>
      </c>
      <c r="G53" s="53">
        <v>4</v>
      </c>
      <c r="H53" s="6">
        <f t="shared" si="1"/>
        <v>72</v>
      </c>
      <c r="I53" s="6">
        <f>(0.15+0.06+0.02+0.06+0.02+0.00304+0.00304+0.05392+0.05392+0.01696+0.01696+0.14392)*(F53/1000)*C53</f>
        <v>6.0657408000000004</v>
      </c>
    </row>
    <row r="55" spans="2:9" x14ac:dyDescent="0.25">
      <c r="D55" s="2"/>
      <c r="E55" s="3"/>
      <c r="F55" s="3"/>
      <c r="G55" s="4"/>
      <c r="H55" s="6">
        <f>SUM(H9:H53)</f>
        <v>2949</v>
      </c>
      <c r="I55" s="6">
        <f>SUM(I9:I53)</f>
        <v>219.44064648908892</v>
      </c>
    </row>
    <row r="56" spans="2:9" x14ac:dyDescent="0.25">
      <c r="D56" s="6"/>
      <c r="E56" s="6"/>
      <c r="F56" s="6"/>
      <c r="G56" s="6"/>
      <c r="H56" s="6"/>
    </row>
    <row r="57" spans="2:9" x14ac:dyDescent="0.25">
      <c r="D57" s="2" t="s">
        <v>16</v>
      </c>
      <c r="E57" s="3"/>
      <c r="F57" s="3"/>
      <c r="G57" s="4">
        <f>G55+H55</f>
        <v>2949</v>
      </c>
      <c r="H57" s="6"/>
    </row>
    <row r="59" spans="2:9" x14ac:dyDescent="0.25">
      <c r="C59" s="6"/>
      <c r="D59" s="6"/>
      <c r="E59" s="6"/>
      <c r="F59" s="6" t="s">
        <v>61</v>
      </c>
      <c r="G59" s="6" t="s">
        <v>62</v>
      </c>
    </row>
    <row r="60" spans="2:9" x14ac:dyDescent="0.25">
      <c r="C60" s="6" t="s">
        <v>66</v>
      </c>
      <c r="D60" s="6"/>
      <c r="E60" s="6"/>
      <c r="F60" s="6">
        <f>SUMIF($B$9:$B$53,"CONT",$H$9:$H$53)</f>
        <v>74</v>
      </c>
      <c r="G60" s="6">
        <f>SUMIF($B$9:$B$53,"CONT",$I$9:$I$53)</f>
        <v>3.6823392890889366</v>
      </c>
    </row>
    <row r="61" spans="2:9" x14ac:dyDescent="0.25">
      <c r="C61" s="6" t="s">
        <v>67</v>
      </c>
      <c r="D61" s="6"/>
      <c r="E61" s="6"/>
      <c r="F61" s="6">
        <f>SUMIF($B$9:$B$53,"CONTC",$H$9:$H$53)</f>
        <v>80</v>
      </c>
      <c r="G61" s="6">
        <f>SUMIF($B$9:$B$53,"CONTC",$I$9:$I$53)</f>
        <v>6.5260800000000021</v>
      </c>
    </row>
    <row r="62" spans="2:9" x14ac:dyDescent="0.25">
      <c r="C62" s="6" t="s">
        <v>56</v>
      </c>
      <c r="D62" s="6"/>
      <c r="E62" s="6"/>
      <c r="F62" s="6">
        <f>SUMIF($B$9:$B$53,"TRELICA",$H$9:$H$53)</f>
        <v>2053</v>
      </c>
      <c r="G62" s="6">
        <f>SUMIF($B$9:$B$53,"TRELICA",$I$9:$I$53)</f>
        <v>137.71017519999998</v>
      </c>
    </row>
    <row r="63" spans="2:9" x14ac:dyDescent="0.25">
      <c r="C63" s="6" t="s">
        <v>49</v>
      </c>
      <c r="D63" s="6"/>
      <c r="E63" s="6"/>
      <c r="F63" s="6"/>
      <c r="G63" s="6"/>
    </row>
    <row r="64" spans="2:9" x14ac:dyDescent="0.25">
      <c r="C64" s="6" t="s">
        <v>50</v>
      </c>
      <c r="D64" s="6"/>
      <c r="E64" s="6"/>
      <c r="F64" s="6"/>
      <c r="G64" s="6"/>
    </row>
    <row r="65" spans="3:11" x14ac:dyDescent="0.25">
      <c r="C65" s="6" t="s">
        <v>51</v>
      </c>
      <c r="D65" s="6"/>
      <c r="E65" s="6"/>
      <c r="F65" s="6">
        <f>SUMIF($B$9:$B$53,"TRAMA",$H$9:$H$53)</f>
        <v>742</v>
      </c>
      <c r="G65" s="6">
        <f>SUMIF($B$9:$B$53,"TRAMA",$I$9:$I$53)</f>
        <v>71.522052000000002</v>
      </c>
    </row>
    <row r="66" spans="3:11" ht="15.75" thickBot="1" x14ac:dyDescent="0.3"/>
    <row r="67" spans="3:11" ht="15.75" thickBot="1" x14ac:dyDescent="0.3">
      <c r="D67" s="11" t="s">
        <v>18</v>
      </c>
      <c r="E67" s="12"/>
      <c r="F67" s="12"/>
      <c r="G67" s="13"/>
      <c r="H67" s="6"/>
      <c r="I67" s="6"/>
      <c r="J67" s="6"/>
      <c r="K67" s="6"/>
    </row>
    <row r="68" spans="3:11" x14ac:dyDescent="0.25">
      <c r="D68" s="10" t="s">
        <v>20</v>
      </c>
      <c r="E68" s="10" t="s">
        <v>21</v>
      </c>
      <c r="F68" s="10" t="s">
        <v>1</v>
      </c>
      <c r="G68" s="10" t="s">
        <v>22</v>
      </c>
      <c r="H68" s="6"/>
      <c r="I68" s="6"/>
      <c r="J68" s="6"/>
      <c r="K68" s="6"/>
    </row>
    <row r="69" spans="3:11" x14ac:dyDescent="0.25">
      <c r="D69" s="8" t="s">
        <v>28</v>
      </c>
      <c r="E69" s="8">
        <v>20350</v>
      </c>
      <c r="F69" s="8">
        <v>2</v>
      </c>
      <c r="G69" s="9">
        <f>(H69+I69+I69)*J69*E69*7850*F69/1000000000</f>
        <v>227.6401875</v>
      </c>
      <c r="H69" s="6">
        <v>450</v>
      </c>
      <c r="I69" s="6">
        <v>150</v>
      </c>
      <c r="J69" s="6">
        <v>0.95</v>
      </c>
    </row>
    <row r="70" spans="3:11" x14ac:dyDescent="0.25">
      <c r="D70" s="6"/>
      <c r="E70" s="6"/>
      <c r="F70" s="6" t="s">
        <v>25</v>
      </c>
      <c r="G70" s="7">
        <f>SUM(G69:G69)</f>
        <v>227.6401875</v>
      </c>
      <c r="H70" s="6"/>
      <c r="I70" s="6"/>
      <c r="J70" s="6"/>
      <c r="K70" s="6"/>
    </row>
  </sheetData>
  <mergeCells count="1">
    <mergeCell ref="C5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E959-74D5-4684-99EC-686B1621DF94}">
  <dimension ref="B2:L94"/>
  <sheetViews>
    <sheetView showGridLines="0" view="pageBreakPreview" topLeftCell="A55" zoomScale="90" zoomScaleNormal="100" zoomScaleSheetLayoutView="90" workbookViewId="0">
      <selection activeCell="C83" sqref="C83:G83"/>
    </sheetView>
  </sheetViews>
  <sheetFormatPr defaultRowHeight="15" x14ac:dyDescent="0.25"/>
  <cols>
    <col min="3" max="3" width="4.7109375" bestFit="1" customWidth="1"/>
    <col min="4" max="4" width="17.42578125" bestFit="1" customWidth="1"/>
    <col min="5" max="5" width="6.5703125" customWidth="1"/>
    <col min="6" max="6" width="13.7109375" bestFit="1" customWidth="1"/>
    <col min="8" max="8" width="8.28515625" customWidth="1"/>
    <col min="11" max="11" width="23.28515625" bestFit="1" customWidth="1"/>
    <col min="12" max="12" width="13.140625" bestFit="1" customWidth="1"/>
    <col min="13" max="13" width="10.5703125" bestFit="1" customWidth="1"/>
    <col min="14" max="14" width="5.5703125" bestFit="1" customWidth="1"/>
    <col min="16" max="17" width="4" bestFit="1" customWidth="1"/>
    <col min="18" max="18" width="5" bestFit="1" customWidth="1"/>
  </cols>
  <sheetData>
    <row r="2" spans="2:9" s="6" customFormat="1" ht="30" x14ac:dyDescent="0.25">
      <c r="C2" s="48"/>
      <c r="D2" s="59" t="s">
        <v>70</v>
      </c>
      <c r="E2" s="50"/>
      <c r="F2" s="6" t="s">
        <v>56</v>
      </c>
      <c r="G2" s="43"/>
      <c r="H2" s="6" t="s">
        <v>49</v>
      </c>
    </row>
    <row r="3" spans="2:9" ht="30" x14ac:dyDescent="0.25">
      <c r="C3" s="47"/>
      <c r="D3" s="59" t="s">
        <v>71</v>
      </c>
      <c r="E3" s="46"/>
      <c r="F3" s="6" t="s">
        <v>51</v>
      </c>
      <c r="G3" s="45"/>
      <c r="H3" s="6" t="s">
        <v>50</v>
      </c>
    </row>
    <row r="5" spans="2:9" x14ac:dyDescent="0.25">
      <c r="C5" s="192" t="s">
        <v>0</v>
      </c>
      <c r="D5" s="192"/>
      <c r="E5" s="192"/>
      <c r="F5" s="192"/>
      <c r="G5" s="192"/>
      <c r="H5" s="6"/>
    </row>
    <row r="6" spans="2:9" x14ac:dyDescent="0.25">
      <c r="C6" s="6"/>
      <c r="D6" s="6"/>
      <c r="E6" s="6"/>
      <c r="F6" s="6"/>
      <c r="G6" s="6"/>
      <c r="H6" s="6"/>
    </row>
    <row r="7" spans="2:9" ht="45" x14ac:dyDescent="0.25"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2" t="s">
        <v>57</v>
      </c>
      <c r="I7" s="52" t="s">
        <v>58</v>
      </c>
    </row>
    <row r="8" spans="2:9" x14ac:dyDescent="0.25">
      <c r="C8" s="6"/>
      <c r="D8" s="6"/>
      <c r="E8" s="6"/>
      <c r="F8" s="6"/>
      <c r="G8" s="6"/>
      <c r="H8" s="6"/>
    </row>
    <row r="9" spans="2:9" x14ac:dyDescent="0.25">
      <c r="B9" s="6" t="s">
        <v>59</v>
      </c>
      <c r="C9" s="40">
        <v>2</v>
      </c>
      <c r="D9" s="40" t="s">
        <v>6</v>
      </c>
      <c r="E9" s="40" t="s">
        <v>7</v>
      </c>
      <c r="F9" s="40">
        <v>2410</v>
      </c>
      <c r="G9" s="40">
        <v>2</v>
      </c>
      <c r="H9" s="6">
        <f t="shared" ref="H9:H40" si="0">G9*C9</f>
        <v>4</v>
      </c>
      <c r="I9" s="6">
        <f>2*PI()*(0.00625)*C9*(F9/1000)</f>
        <v>0.18928095737878506</v>
      </c>
    </row>
    <row r="10" spans="2:9" x14ac:dyDescent="0.25">
      <c r="B10" s="6" t="s">
        <v>59</v>
      </c>
      <c r="C10" s="40">
        <v>2</v>
      </c>
      <c r="D10" s="40" t="s">
        <v>6</v>
      </c>
      <c r="E10" s="40" t="s">
        <v>7</v>
      </c>
      <c r="F10" s="40">
        <v>2440</v>
      </c>
      <c r="G10" s="40">
        <v>2</v>
      </c>
      <c r="H10" s="6">
        <f t="shared" si="0"/>
        <v>4</v>
      </c>
      <c r="I10" s="6">
        <f t="shared" ref="I10:I19" si="1">2*PI()*(0.00625)*C10*(F10/1000)</f>
        <v>0.19163715186897737</v>
      </c>
    </row>
    <row r="11" spans="2:9" x14ac:dyDescent="0.25">
      <c r="B11" s="6" t="s">
        <v>59</v>
      </c>
      <c r="C11" s="40">
        <v>6</v>
      </c>
      <c r="D11" s="40" t="s">
        <v>6</v>
      </c>
      <c r="E11" s="40" t="s">
        <v>7</v>
      </c>
      <c r="F11" s="40">
        <v>2510</v>
      </c>
      <c r="G11" s="40">
        <v>2</v>
      </c>
      <c r="H11" s="6">
        <f t="shared" si="0"/>
        <v>12</v>
      </c>
      <c r="I11" s="6">
        <f t="shared" si="1"/>
        <v>0.59140481703827852</v>
      </c>
    </row>
    <row r="12" spans="2:9" x14ac:dyDescent="0.25">
      <c r="B12" s="6" t="s">
        <v>59</v>
      </c>
      <c r="C12" s="40">
        <v>2</v>
      </c>
      <c r="D12" s="40" t="s">
        <v>6</v>
      </c>
      <c r="E12" s="40" t="s">
        <v>7</v>
      </c>
      <c r="F12" s="40">
        <v>2550</v>
      </c>
      <c r="G12" s="40">
        <v>2</v>
      </c>
      <c r="H12" s="6">
        <f t="shared" si="0"/>
        <v>4</v>
      </c>
      <c r="I12" s="6">
        <f t="shared" si="1"/>
        <v>0.20027653166634929</v>
      </c>
    </row>
    <row r="13" spans="2:9" x14ac:dyDescent="0.25">
      <c r="B13" s="6" t="s">
        <v>59</v>
      </c>
      <c r="C13" s="40">
        <v>4</v>
      </c>
      <c r="D13" s="40" t="s">
        <v>6</v>
      </c>
      <c r="E13" s="40" t="s">
        <v>7</v>
      </c>
      <c r="F13" s="40">
        <v>2560</v>
      </c>
      <c r="G13" s="40">
        <v>2</v>
      </c>
      <c r="H13" s="6">
        <f t="shared" si="0"/>
        <v>8</v>
      </c>
      <c r="I13" s="6">
        <f t="shared" si="1"/>
        <v>0.40212385965949354</v>
      </c>
    </row>
    <row r="14" spans="2:9" x14ac:dyDescent="0.25">
      <c r="B14" s="6" t="s">
        <v>59</v>
      </c>
      <c r="C14" s="40">
        <v>4</v>
      </c>
      <c r="D14" s="40" t="s">
        <v>6</v>
      </c>
      <c r="E14" s="40" t="s">
        <v>7</v>
      </c>
      <c r="F14" s="40">
        <v>2590</v>
      </c>
      <c r="G14" s="40">
        <v>2</v>
      </c>
      <c r="H14" s="6">
        <f t="shared" si="0"/>
        <v>8</v>
      </c>
      <c r="I14" s="6">
        <f t="shared" si="1"/>
        <v>0.40683624863987816</v>
      </c>
    </row>
    <row r="15" spans="2:9" x14ac:dyDescent="0.25">
      <c r="B15" s="6" t="s">
        <v>59</v>
      </c>
      <c r="C15" s="40">
        <v>3</v>
      </c>
      <c r="D15" s="40" t="s">
        <v>6</v>
      </c>
      <c r="E15" s="40" t="s">
        <v>7</v>
      </c>
      <c r="F15" s="40">
        <v>2600</v>
      </c>
      <c r="G15" s="40">
        <v>2</v>
      </c>
      <c r="H15" s="6">
        <f t="shared" si="0"/>
        <v>6</v>
      </c>
      <c r="I15" s="6">
        <f t="shared" si="1"/>
        <v>0.30630528372500482</v>
      </c>
    </row>
    <row r="16" spans="2:9" x14ac:dyDescent="0.25">
      <c r="B16" s="6" t="s">
        <v>59</v>
      </c>
      <c r="C16" s="40">
        <v>4</v>
      </c>
      <c r="D16" s="40" t="s">
        <v>6</v>
      </c>
      <c r="E16" s="40" t="s">
        <v>7</v>
      </c>
      <c r="F16" s="40">
        <v>2820</v>
      </c>
      <c r="G16" s="40">
        <v>2</v>
      </c>
      <c r="H16" s="6">
        <f t="shared" si="0"/>
        <v>8</v>
      </c>
      <c r="I16" s="6">
        <f t="shared" si="1"/>
        <v>0.44296456415616081</v>
      </c>
    </row>
    <row r="17" spans="2:12" x14ac:dyDescent="0.25">
      <c r="B17" s="6" t="s">
        <v>59</v>
      </c>
      <c r="C17" s="40">
        <v>6</v>
      </c>
      <c r="D17" s="40" t="s">
        <v>6</v>
      </c>
      <c r="E17" s="40" t="s">
        <v>7</v>
      </c>
      <c r="F17" s="40">
        <v>4490</v>
      </c>
      <c r="G17" s="40">
        <v>4</v>
      </c>
      <c r="H17" s="6">
        <f t="shared" si="0"/>
        <v>24</v>
      </c>
      <c r="I17" s="6">
        <f t="shared" si="1"/>
        <v>1.057931326096363</v>
      </c>
    </row>
    <row r="18" spans="2:12" x14ac:dyDescent="0.25">
      <c r="B18" s="6" t="s">
        <v>59</v>
      </c>
      <c r="C18" s="40">
        <v>2</v>
      </c>
      <c r="D18" s="40" t="s">
        <v>6</v>
      </c>
      <c r="E18" s="40" t="s">
        <v>7</v>
      </c>
      <c r="F18" s="40">
        <v>4590</v>
      </c>
      <c r="G18" s="40">
        <v>4</v>
      </c>
      <c r="H18" s="6">
        <f t="shared" si="0"/>
        <v>8</v>
      </c>
      <c r="I18" s="6">
        <f t="shared" si="1"/>
        <v>0.36049775699942876</v>
      </c>
    </row>
    <row r="19" spans="2:12" x14ac:dyDescent="0.25">
      <c r="B19" s="6" t="s">
        <v>59</v>
      </c>
      <c r="C19" s="40">
        <v>1</v>
      </c>
      <c r="D19" s="40" t="s">
        <v>6</v>
      </c>
      <c r="E19" s="40" t="s">
        <v>7</v>
      </c>
      <c r="F19" s="40">
        <v>4600</v>
      </c>
      <c r="G19" s="40">
        <v>4</v>
      </c>
      <c r="H19" s="6">
        <f t="shared" si="0"/>
        <v>4</v>
      </c>
      <c r="I19" s="6">
        <f t="shared" si="1"/>
        <v>0.18064157758141308</v>
      </c>
    </row>
    <row r="20" spans="2:12" x14ac:dyDescent="0.25">
      <c r="B20" s="6" t="s">
        <v>68</v>
      </c>
      <c r="C20" s="39">
        <v>18</v>
      </c>
      <c r="D20" s="39" t="s">
        <v>8</v>
      </c>
      <c r="E20" s="39" t="s">
        <v>7</v>
      </c>
      <c r="F20" s="39">
        <v>850</v>
      </c>
      <c r="G20" s="39">
        <v>2</v>
      </c>
      <c r="H20" s="6">
        <f t="shared" si="0"/>
        <v>36</v>
      </c>
      <c r="I20" s="6">
        <f>(0.044+0.044+0.003+0.003+0.041+0.041)*(F20/1000)*C20</f>
        <v>2.6928000000000001</v>
      </c>
    </row>
    <row r="21" spans="2:12" x14ac:dyDescent="0.25">
      <c r="B21" s="6" t="s">
        <v>68</v>
      </c>
      <c r="C21" s="39">
        <v>24</v>
      </c>
      <c r="D21" s="39" t="s">
        <v>8</v>
      </c>
      <c r="E21" s="39" t="s">
        <v>7</v>
      </c>
      <c r="F21" s="39">
        <v>1010</v>
      </c>
      <c r="G21" s="39">
        <v>2</v>
      </c>
      <c r="H21" s="6">
        <f t="shared" si="0"/>
        <v>48</v>
      </c>
      <c r="I21" s="6">
        <f>(0.044+0.044+0.003+0.003+0.041+0.041)*(F21/1000)*C21</f>
        <v>4.2662400000000007</v>
      </c>
    </row>
    <row r="22" spans="2:12" x14ac:dyDescent="0.25">
      <c r="B22" s="6" t="s">
        <v>68</v>
      </c>
      <c r="C22" s="39">
        <v>24</v>
      </c>
      <c r="D22" s="39" t="s">
        <v>8</v>
      </c>
      <c r="E22" s="39" t="s">
        <v>7</v>
      </c>
      <c r="F22" s="39">
        <v>1170</v>
      </c>
      <c r="G22" s="39">
        <v>2</v>
      </c>
      <c r="H22" s="6">
        <f t="shared" si="0"/>
        <v>48</v>
      </c>
      <c r="I22" s="6">
        <f>(0.044+0.044+0.003+0.003+0.041+0.041)*(F22/1000)*C22</f>
        <v>4.9420800000000007</v>
      </c>
    </row>
    <row r="23" spans="2:12" x14ac:dyDescent="0.25">
      <c r="B23" s="6" t="s">
        <v>60</v>
      </c>
      <c r="C23" s="53">
        <v>12</v>
      </c>
      <c r="D23" s="53" t="s">
        <v>9</v>
      </c>
      <c r="E23" s="53" t="s">
        <v>7</v>
      </c>
      <c r="F23" s="53">
        <v>600</v>
      </c>
      <c r="G23" s="53">
        <v>2</v>
      </c>
      <c r="H23" s="6">
        <f t="shared" si="0"/>
        <v>24</v>
      </c>
      <c r="I23" s="6">
        <f t="shared" ref="I23:I35" si="2">(0.137+0.05+0.05+0.002+0.002+0.048+0.048+0.132)*(F23/1000)*C23</f>
        <v>3.3767999999999998</v>
      </c>
      <c r="L23" s="6"/>
    </row>
    <row r="24" spans="2:12" x14ac:dyDescent="0.25">
      <c r="B24" s="6" t="s">
        <v>60</v>
      </c>
      <c r="C24" s="53">
        <v>12</v>
      </c>
      <c r="D24" s="53" t="s">
        <v>9</v>
      </c>
      <c r="E24" s="53" t="s">
        <v>7</v>
      </c>
      <c r="F24" s="53">
        <v>660</v>
      </c>
      <c r="G24" s="53">
        <v>2</v>
      </c>
      <c r="H24" s="6">
        <f t="shared" si="0"/>
        <v>24</v>
      </c>
      <c r="I24" s="6">
        <f t="shared" si="2"/>
        <v>3.71448</v>
      </c>
      <c r="L24" s="6"/>
    </row>
    <row r="25" spans="2:12" x14ac:dyDescent="0.25">
      <c r="B25" s="6" t="s">
        <v>60</v>
      </c>
      <c r="C25" s="53">
        <v>14</v>
      </c>
      <c r="D25" s="53" t="s">
        <v>9</v>
      </c>
      <c r="E25" s="53" t="s">
        <v>7</v>
      </c>
      <c r="F25" s="53">
        <v>720</v>
      </c>
      <c r="G25" s="53">
        <v>3</v>
      </c>
      <c r="H25" s="6">
        <f t="shared" si="0"/>
        <v>42</v>
      </c>
      <c r="I25" s="6">
        <f t="shared" si="2"/>
        <v>4.7275200000000002</v>
      </c>
      <c r="L25" s="6"/>
    </row>
    <row r="26" spans="2:12" x14ac:dyDescent="0.25">
      <c r="B26" s="6" t="s">
        <v>60</v>
      </c>
      <c r="C26" s="53">
        <v>14</v>
      </c>
      <c r="D26" s="53" t="s">
        <v>9</v>
      </c>
      <c r="E26" s="53" t="s">
        <v>7</v>
      </c>
      <c r="F26" s="53">
        <v>770</v>
      </c>
      <c r="G26" s="53">
        <v>3</v>
      </c>
      <c r="H26" s="6">
        <f t="shared" si="0"/>
        <v>42</v>
      </c>
      <c r="I26" s="6">
        <f t="shared" si="2"/>
        <v>5.0558199999999998</v>
      </c>
      <c r="L26" s="6"/>
    </row>
    <row r="27" spans="2:12" x14ac:dyDescent="0.25">
      <c r="B27" s="6" t="s">
        <v>60</v>
      </c>
      <c r="C27" s="53">
        <v>5</v>
      </c>
      <c r="D27" s="53" t="s">
        <v>9</v>
      </c>
      <c r="E27" s="53" t="s">
        <v>7</v>
      </c>
      <c r="F27" s="53">
        <v>840</v>
      </c>
      <c r="G27" s="53">
        <v>3</v>
      </c>
      <c r="H27" s="6">
        <f t="shared" si="0"/>
        <v>15</v>
      </c>
      <c r="I27" s="6">
        <f t="shared" si="2"/>
        <v>1.9697999999999998</v>
      </c>
      <c r="L27" s="6"/>
    </row>
    <row r="28" spans="2:12" x14ac:dyDescent="0.25">
      <c r="B28" s="6" t="s">
        <v>60</v>
      </c>
      <c r="C28" s="53">
        <v>9</v>
      </c>
      <c r="D28" s="53" t="s">
        <v>9</v>
      </c>
      <c r="E28" s="53" t="s">
        <v>7</v>
      </c>
      <c r="F28" s="53">
        <v>850</v>
      </c>
      <c r="G28" s="53">
        <v>3</v>
      </c>
      <c r="H28" s="6">
        <f t="shared" si="0"/>
        <v>27</v>
      </c>
      <c r="I28" s="6">
        <f t="shared" si="2"/>
        <v>3.5878499999999995</v>
      </c>
      <c r="L28" s="6"/>
    </row>
    <row r="29" spans="2:12" x14ac:dyDescent="0.25">
      <c r="B29" s="6" t="s">
        <v>60</v>
      </c>
      <c r="C29" s="53">
        <v>5</v>
      </c>
      <c r="D29" s="53" t="s">
        <v>9</v>
      </c>
      <c r="E29" s="53" t="s">
        <v>7</v>
      </c>
      <c r="F29" s="53">
        <v>860</v>
      </c>
      <c r="G29" s="53">
        <v>3</v>
      </c>
      <c r="H29" s="6">
        <f t="shared" si="0"/>
        <v>15</v>
      </c>
      <c r="I29" s="6">
        <f t="shared" si="2"/>
        <v>2.0166999999999997</v>
      </c>
    </row>
    <row r="30" spans="2:12" x14ac:dyDescent="0.25">
      <c r="B30" s="6" t="s">
        <v>60</v>
      </c>
      <c r="C30" s="53">
        <v>7</v>
      </c>
      <c r="D30" s="53" t="s">
        <v>9</v>
      </c>
      <c r="E30" s="53" t="s">
        <v>7</v>
      </c>
      <c r="F30" s="53">
        <v>870</v>
      </c>
      <c r="G30" s="53">
        <v>3</v>
      </c>
      <c r="H30" s="6">
        <f t="shared" si="0"/>
        <v>21</v>
      </c>
      <c r="I30" s="6">
        <f t="shared" si="2"/>
        <v>2.8562099999999995</v>
      </c>
    </row>
    <row r="31" spans="2:12" x14ac:dyDescent="0.25">
      <c r="B31" s="6" t="s">
        <v>60</v>
      </c>
      <c r="C31" s="53">
        <v>7</v>
      </c>
      <c r="D31" s="53" t="s">
        <v>9</v>
      </c>
      <c r="E31" s="53" t="s">
        <v>7</v>
      </c>
      <c r="F31" s="53">
        <v>880</v>
      </c>
      <c r="G31" s="53">
        <v>3</v>
      </c>
      <c r="H31" s="6">
        <f t="shared" si="0"/>
        <v>21</v>
      </c>
      <c r="I31" s="6">
        <f t="shared" si="2"/>
        <v>2.8890399999999996</v>
      </c>
      <c r="L31" s="6"/>
    </row>
    <row r="32" spans="2:12" x14ac:dyDescent="0.25">
      <c r="B32" s="6" t="s">
        <v>60</v>
      </c>
      <c r="C32" s="53">
        <v>2</v>
      </c>
      <c r="D32" s="53" t="s">
        <v>9</v>
      </c>
      <c r="E32" s="53" t="s">
        <v>7</v>
      </c>
      <c r="F32" s="53">
        <v>900</v>
      </c>
      <c r="G32" s="53">
        <v>3</v>
      </c>
      <c r="H32" s="6">
        <f t="shared" si="0"/>
        <v>6</v>
      </c>
      <c r="I32" s="6">
        <f t="shared" si="2"/>
        <v>0.84419999999999995</v>
      </c>
    </row>
    <row r="33" spans="2:12" x14ac:dyDescent="0.25">
      <c r="B33" s="6" t="s">
        <v>60</v>
      </c>
      <c r="C33" s="53">
        <v>12</v>
      </c>
      <c r="D33" s="53" t="s">
        <v>9</v>
      </c>
      <c r="E33" s="53" t="s">
        <v>7</v>
      </c>
      <c r="F33" s="53">
        <v>1040</v>
      </c>
      <c r="G33" s="53">
        <v>4</v>
      </c>
      <c r="H33" s="6">
        <f t="shared" si="0"/>
        <v>48</v>
      </c>
      <c r="I33" s="6">
        <f t="shared" si="2"/>
        <v>5.8531199999999997</v>
      </c>
      <c r="L33" s="6"/>
    </row>
    <row r="34" spans="2:12" x14ac:dyDescent="0.25">
      <c r="B34" s="6" t="s">
        <v>60</v>
      </c>
      <c r="C34" s="53">
        <v>26</v>
      </c>
      <c r="D34" s="53" t="s">
        <v>9</v>
      </c>
      <c r="E34" s="53" t="s">
        <v>7</v>
      </c>
      <c r="F34" s="53">
        <v>1110</v>
      </c>
      <c r="G34" s="53">
        <v>4</v>
      </c>
      <c r="H34" s="6">
        <f t="shared" si="0"/>
        <v>104</v>
      </c>
      <c r="I34" s="6">
        <f t="shared" si="2"/>
        <v>13.53534</v>
      </c>
      <c r="L34" s="6"/>
    </row>
    <row r="35" spans="2:12" x14ac:dyDescent="0.25">
      <c r="B35" s="6" t="s">
        <v>60</v>
      </c>
      <c r="C35" s="53">
        <v>14</v>
      </c>
      <c r="D35" s="53" t="s">
        <v>9</v>
      </c>
      <c r="E35" s="53" t="s">
        <v>7</v>
      </c>
      <c r="F35" s="53">
        <v>1180</v>
      </c>
      <c r="G35" s="53">
        <v>4</v>
      </c>
      <c r="H35" s="6">
        <f t="shared" si="0"/>
        <v>56</v>
      </c>
      <c r="I35" s="6">
        <f t="shared" si="2"/>
        <v>7.7478799999999985</v>
      </c>
      <c r="L35" s="6"/>
    </row>
    <row r="36" spans="2:12" x14ac:dyDescent="0.25">
      <c r="B36" s="6" t="s">
        <v>60</v>
      </c>
      <c r="C36" s="53">
        <v>2</v>
      </c>
      <c r="D36" s="53" t="s">
        <v>10</v>
      </c>
      <c r="E36" s="53" t="s">
        <v>7</v>
      </c>
      <c r="F36" s="53">
        <v>2550</v>
      </c>
      <c r="G36" s="53">
        <v>27</v>
      </c>
      <c r="H36" s="6">
        <f t="shared" si="0"/>
        <v>54</v>
      </c>
      <c r="I36" s="6">
        <f>(0.15+0.07+0.07+0.00475+0.00475+0.06525+0.06525+0.1405)*(F36/1000)*C36</f>
        <v>2.9095499999999999</v>
      </c>
    </row>
    <row r="37" spans="2:12" x14ac:dyDescent="0.25">
      <c r="B37" s="6" t="s">
        <v>60</v>
      </c>
      <c r="C37" s="53">
        <v>7</v>
      </c>
      <c r="D37" s="53" t="s">
        <v>10</v>
      </c>
      <c r="E37" s="53" t="s">
        <v>7</v>
      </c>
      <c r="F37" s="53">
        <v>4530</v>
      </c>
      <c r="G37" s="53">
        <v>47</v>
      </c>
      <c r="H37" s="6">
        <f t="shared" si="0"/>
        <v>329</v>
      </c>
      <c r="I37" s="6">
        <f>(0.15+0.07+0.07+0.00475+0.00475+0.06525+0.06525+0.1405)*(F37/1000)*C37</f>
        <v>18.090555000000002</v>
      </c>
    </row>
    <row r="38" spans="2:12" x14ac:dyDescent="0.25">
      <c r="B38" s="6" t="s">
        <v>60</v>
      </c>
      <c r="C38" s="53">
        <v>5</v>
      </c>
      <c r="D38" s="53" t="s">
        <v>10</v>
      </c>
      <c r="E38" s="53" t="s">
        <v>7</v>
      </c>
      <c r="F38" s="53">
        <v>4550</v>
      </c>
      <c r="G38" s="53">
        <v>48</v>
      </c>
      <c r="H38" s="6">
        <f t="shared" si="0"/>
        <v>240</v>
      </c>
      <c r="I38" s="6">
        <f>(0.15+0.07+0.07+0.00475+0.00475+0.06525+0.06525+0.1405)*(F38/1000)*C38</f>
        <v>12.978874999999999</v>
      </c>
      <c r="L38" s="6"/>
    </row>
    <row r="39" spans="2:12" x14ac:dyDescent="0.25">
      <c r="B39" s="6" t="s">
        <v>60</v>
      </c>
      <c r="C39" s="53">
        <v>2</v>
      </c>
      <c r="D39" s="53" t="s">
        <v>17</v>
      </c>
      <c r="E39" s="53" t="s">
        <v>7</v>
      </c>
      <c r="F39" s="53">
        <v>7230</v>
      </c>
      <c r="G39" s="53">
        <v>100</v>
      </c>
      <c r="H39" s="6">
        <f t="shared" si="0"/>
        <v>200</v>
      </c>
      <c r="I39" s="6">
        <f>(0.15+0.07+0.07+0.00635+0.00635+0.06365+0.06365+0.1373)*(F39/1000)*C39</f>
        <v>8.2031580000000002</v>
      </c>
    </row>
    <row r="40" spans="2:12" x14ac:dyDescent="0.25">
      <c r="B40" s="6" t="s">
        <v>60</v>
      </c>
      <c r="C40" s="53">
        <v>5</v>
      </c>
      <c r="D40" s="53" t="s">
        <v>17</v>
      </c>
      <c r="E40" s="53" t="s">
        <v>7</v>
      </c>
      <c r="F40" s="53">
        <v>9060</v>
      </c>
      <c r="G40" s="53">
        <v>125</v>
      </c>
      <c r="H40" s="6">
        <f t="shared" si="0"/>
        <v>625</v>
      </c>
      <c r="I40" s="6">
        <f>(0.15+0.07+0.07+0.00635+0.00635+0.06365+0.06365+0.1373)*(F40/1000)*C40</f>
        <v>25.698690000000003</v>
      </c>
      <c r="L40" s="6"/>
    </row>
    <row r="41" spans="2:12" x14ac:dyDescent="0.25">
      <c r="B41" s="6" t="s">
        <v>51</v>
      </c>
      <c r="C41" s="41">
        <v>1</v>
      </c>
      <c r="D41" s="41" t="s">
        <v>12</v>
      </c>
      <c r="E41" s="41" t="s">
        <v>7</v>
      </c>
      <c r="F41" s="41">
        <v>3380</v>
      </c>
      <c r="G41" s="41">
        <v>18</v>
      </c>
      <c r="H41" s="6">
        <f t="shared" ref="H41:H72" si="3">G41*C41</f>
        <v>18</v>
      </c>
      <c r="I41" s="6">
        <f t="shared" ref="I41:I55" si="4">(0.127+0.05+0.017+0.05+0.017+0.00265+0.00265+0.0447+0.0447+0.01435+0.01435+0.1217)*(F41/1000)*C41</f>
        <v>1.710618</v>
      </c>
    </row>
    <row r="42" spans="2:12" x14ac:dyDescent="0.25">
      <c r="B42" s="6" t="s">
        <v>51</v>
      </c>
      <c r="C42" s="41">
        <v>6</v>
      </c>
      <c r="D42" s="41" t="s">
        <v>12</v>
      </c>
      <c r="E42" s="41" t="s">
        <v>7</v>
      </c>
      <c r="F42" s="41">
        <v>3450</v>
      </c>
      <c r="G42" s="41">
        <v>18</v>
      </c>
      <c r="H42" s="6">
        <f t="shared" si="3"/>
        <v>108</v>
      </c>
      <c r="I42" s="6">
        <f t="shared" si="4"/>
        <v>10.47627</v>
      </c>
    </row>
    <row r="43" spans="2:12" x14ac:dyDescent="0.25">
      <c r="B43" s="6" t="s">
        <v>51</v>
      </c>
      <c r="C43" s="41">
        <v>1</v>
      </c>
      <c r="D43" s="41" t="s">
        <v>12</v>
      </c>
      <c r="E43" s="41" t="s">
        <v>7</v>
      </c>
      <c r="F43" s="41">
        <v>3460</v>
      </c>
      <c r="G43" s="41">
        <v>18</v>
      </c>
      <c r="H43" s="6">
        <f t="shared" si="3"/>
        <v>18</v>
      </c>
      <c r="I43" s="6">
        <f t="shared" si="4"/>
        <v>1.7511060000000001</v>
      </c>
    </row>
    <row r="44" spans="2:12" x14ac:dyDescent="0.25">
      <c r="B44" s="6" t="s">
        <v>51</v>
      </c>
      <c r="C44" s="41">
        <v>1</v>
      </c>
      <c r="D44" s="41" t="s">
        <v>12</v>
      </c>
      <c r="E44" s="41" t="s">
        <v>7</v>
      </c>
      <c r="F44" s="41">
        <v>3550</v>
      </c>
      <c r="G44" s="41">
        <v>18</v>
      </c>
      <c r="H44" s="6">
        <f t="shared" si="3"/>
        <v>18</v>
      </c>
      <c r="I44" s="6">
        <f t="shared" si="4"/>
        <v>1.7966549999999999</v>
      </c>
    </row>
    <row r="45" spans="2:12" x14ac:dyDescent="0.25">
      <c r="B45" s="6" t="s">
        <v>51</v>
      </c>
      <c r="C45" s="41">
        <v>6</v>
      </c>
      <c r="D45" s="41" t="s">
        <v>12</v>
      </c>
      <c r="E45" s="41" t="s">
        <v>7</v>
      </c>
      <c r="F45" s="41">
        <v>3710</v>
      </c>
      <c r="G45" s="41">
        <v>19</v>
      </c>
      <c r="H45" s="6">
        <f t="shared" si="3"/>
        <v>114</v>
      </c>
      <c r="I45" s="6">
        <f t="shared" si="4"/>
        <v>11.265786</v>
      </c>
    </row>
    <row r="46" spans="2:12" x14ac:dyDescent="0.25">
      <c r="B46" s="6" t="s">
        <v>51</v>
      </c>
      <c r="C46" s="41">
        <v>1</v>
      </c>
      <c r="D46" s="41" t="s">
        <v>12</v>
      </c>
      <c r="E46" s="41" t="s">
        <v>7</v>
      </c>
      <c r="F46" s="41">
        <v>3800</v>
      </c>
      <c r="G46" s="41">
        <v>20</v>
      </c>
      <c r="H46" s="6">
        <f t="shared" si="3"/>
        <v>20</v>
      </c>
      <c r="I46" s="6">
        <f t="shared" si="4"/>
        <v>1.9231799999999999</v>
      </c>
    </row>
    <row r="47" spans="2:12" x14ac:dyDescent="0.25">
      <c r="B47" s="6" t="s">
        <v>51</v>
      </c>
      <c r="C47" s="41">
        <v>6</v>
      </c>
      <c r="D47" s="41" t="s">
        <v>12</v>
      </c>
      <c r="E47" s="41" t="s">
        <v>7</v>
      </c>
      <c r="F47" s="41">
        <v>3840</v>
      </c>
      <c r="G47" s="41">
        <v>20</v>
      </c>
      <c r="H47" s="6">
        <f t="shared" si="3"/>
        <v>120</v>
      </c>
      <c r="I47" s="6">
        <f t="shared" si="4"/>
        <v>11.660543999999998</v>
      </c>
    </row>
    <row r="48" spans="2:12" x14ac:dyDescent="0.25">
      <c r="B48" s="6" t="s">
        <v>51</v>
      </c>
      <c r="C48" s="41">
        <v>1</v>
      </c>
      <c r="D48" s="41" t="s">
        <v>12</v>
      </c>
      <c r="E48" s="41" t="s">
        <v>7</v>
      </c>
      <c r="F48" s="41">
        <v>3920</v>
      </c>
      <c r="G48" s="41">
        <v>20</v>
      </c>
      <c r="H48" s="6">
        <f t="shared" si="3"/>
        <v>20</v>
      </c>
      <c r="I48" s="6">
        <f t="shared" si="4"/>
        <v>1.9839119999999999</v>
      </c>
    </row>
    <row r="49" spans="2:12" x14ac:dyDescent="0.25">
      <c r="B49" s="6" t="s">
        <v>51</v>
      </c>
      <c r="C49" s="41">
        <v>7</v>
      </c>
      <c r="D49" s="41" t="s">
        <v>12</v>
      </c>
      <c r="E49" s="41" t="s">
        <v>7</v>
      </c>
      <c r="F49" s="41">
        <v>4000</v>
      </c>
      <c r="G49" s="41">
        <v>21</v>
      </c>
      <c r="H49" s="6">
        <f t="shared" si="3"/>
        <v>147</v>
      </c>
      <c r="I49" s="6">
        <f t="shared" si="4"/>
        <v>14.1708</v>
      </c>
    </row>
    <row r="50" spans="2:12" x14ac:dyDescent="0.25">
      <c r="B50" s="6" t="s">
        <v>51</v>
      </c>
      <c r="C50" s="41">
        <v>1</v>
      </c>
      <c r="D50" s="41" t="s">
        <v>12</v>
      </c>
      <c r="E50" s="41" t="s">
        <v>7</v>
      </c>
      <c r="F50" s="41">
        <v>4010</v>
      </c>
      <c r="G50" s="41">
        <v>21</v>
      </c>
      <c r="H50" s="6">
        <f t="shared" si="3"/>
        <v>21</v>
      </c>
      <c r="I50" s="6">
        <f t="shared" si="4"/>
        <v>2.029461</v>
      </c>
    </row>
    <row r="51" spans="2:12" x14ac:dyDescent="0.25">
      <c r="B51" s="6" t="s">
        <v>51</v>
      </c>
      <c r="C51" s="41">
        <v>6</v>
      </c>
      <c r="D51" s="41" t="s">
        <v>12</v>
      </c>
      <c r="E51" s="41" t="s">
        <v>7</v>
      </c>
      <c r="F51" s="41">
        <v>4120</v>
      </c>
      <c r="G51" s="41">
        <v>21</v>
      </c>
      <c r="H51" s="6">
        <f t="shared" si="3"/>
        <v>126</v>
      </c>
      <c r="I51" s="6">
        <f t="shared" si="4"/>
        <v>12.510792000000002</v>
      </c>
    </row>
    <row r="52" spans="2:12" x14ac:dyDescent="0.25">
      <c r="B52" s="6" t="s">
        <v>51</v>
      </c>
      <c r="C52" s="41">
        <v>1</v>
      </c>
      <c r="D52" s="41" t="s">
        <v>12</v>
      </c>
      <c r="E52" s="41" t="s">
        <v>7</v>
      </c>
      <c r="F52" s="41">
        <v>4190</v>
      </c>
      <c r="G52" s="41">
        <v>22</v>
      </c>
      <c r="H52" s="6">
        <f t="shared" si="3"/>
        <v>22</v>
      </c>
      <c r="I52" s="6">
        <f t="shared" si="4"/>
        <v>2.1205590000000001</v>
      </c>
    </row>
    <row r="53" spans="2:12" x14ac:dyDescent="0.25">
      <c r="B53" s="6" t="s">
        <v>51</v>
      </c>
      <c r="C53" s="41">
        <v>6</v>
      </c>
      <c r="D53" s="41" t="s">
        <v>12</v>
      </c>
      <c r="E53" s="41" t="s">
        <v>7</v>
      </c>
      <c r="F53" s="41">
        <v>4550</v>
      </c>
      <c r="G53" s="41">
        <v>24</v>
      </c>
      <c r="H53" s="6">
        <f t="shared" si="3"/>
        <v>144</v>
      </c>
      <c r="I53" s="6">
        <f t="shared" si="4"/>
        <v>13.81653</v>
      </c>
    </row>
    <row r="54" spans="2:12" x14ac:dyDescent="0.25">
      <c r="B54" s="6" t="s">
        <v>51</v>
      </c>
      <c r="C54" s="41">
        <v>1</v>
      </c>
      <c r="D54" s="41" t="s">
        <v>12</v>
      </c>
      <c r="E54" s="41" t="s">
        <v>7</v>
      </c>
      <c r="F54" s="41">
        <v>4630</v>
      </c>
      <c r="G54" s="41">
        <v>24</v>
      </c>
      <c r="H54" s="6">
        <f t="shared" si="3"/>
        <v>24</v>
      </c>
      <c r="I54" s="6">
        <f t="shared" si="4"/>
        <v>2.3432429999999997</v>
      </c>
    </row>
    <row r="55" spans="2:12" x14ac:dyDescent="0.25">
      <c r="B55" s="6" t="s">
        <v>51</v>
      </c>
      <c r="C55" s="41">
        <v>2</v>
      </c>
      <c r="D55" s="41" t="s">
        <v>12</v>
      </c>
      <c r="E55" s="41" t="s">
        <v>7</v>
      </c>
      <c r="F55" s="41">
        <v>23980</v>
      </c>
      <c r="G55" s="41">
        <v>125</v>
      </c>
      <c r="H55" s="6">
        <f t="shared" si="3"/>
        <v>250</v>
      </c>
      <c r="I55" s="6">
        <f t="shared" si="4"/>
        <v>24.272556000000002</v>
      </c>
    </row>
    <row r="56" spans="2:12" x14ac:dyDescent="0.25">
      <c r="B56" s="6" t="s">
        <v>60</v>
      </c>
      <c r="C56" s="53">
        <v>24</v>
      </c>
      <c r="D56" s="53" t="s">
        <v>13</v>
      </c>
      <c r="E56" s="53" t="s">
        <v>7</v>
      </c>
      <c r="F56" s="53">
        <v>160</v>
      </c>
      <c r="G56" s="53">
        <v>1</v>
      </c>
      <c r="H56" s="6">
        <f t="shared" si="3"/>
        <v>24</v>
      </c>
      <c r="I56" s="6">
        <f t="shared" ref="I56:I62" si="5">(0.15+0.06+0.02+0.06+0.02+0.00304+0.00304+0.05392+0.05392+0.01696+0.01696+0.14392)*(F56/1000)*C56</f>
        <v>2.3107584000000001</v>
      </c>
    </row>
    <row r="57" spans="2:12" x14ac:dyDescent="0.25">
      <c r="B57" s="6" t="s">
        <v>60</v>
      </c>
      <c r="C57" s="53">
        <v>4</v>
      </c>
      <c r="D57" s="53" t="s">
        <v>13</v>
      </c>
      <c r="E57" s="53" t="s">
        <v>7</v>
      </c>
      <c r="F57" s="53">
        <v>370</v>
      </c>
      <c r="G57" s="53">
        <v>3</v>
      </c>
      <c r="H57" s="6">
        <f t="shared" si="3"/>
        <v>12</v>
      </c>
      <c r="I57" s="6">
        <f t="shared" si="5"/>
        <v>0.89060479999999997</v>
      </c>
    </row>
    <row r="58" spans="2:12" x14ac:dyDescent="0.25">
      <c r="B58" s="6" t="s">
        <v>60</v>
      </c>
      <c r="C58" s="53">
        <v>56</v>
      </c>
      <c r="D58" s="53" t="s">
        <v>13</v>
      </c>
      <c r="E58" s="53" t="s">
        <v>7</v>
      </c>
      <c r="F58" s="53">
        <v>550</v>
      </c>
      <c r="G58" s="53">
        <v>4</v>
      </c>
      <c r="H58" s="6">
        <f t="shared" si="3"/>
        <v>224</v>
      </c>
      <c r="I58" s="6">
        <f t="shared" si="5"/>
        <v>18.534208</v>
      </c>
      <c r="L58" s="6"/>
    </row>
    <row r="59" spans="2:12" x14ac:dyDescent="0.25">
      <c r="B59" s="6" t="s">
        <v>60</v>
      </c>
      <c r="C59" s="53">
        <v>5</v>
      </c>
      <c r="D59" s="53" t="s">
        <v>13</v>
      </c>
      <c r="E59" s="53" t="s">
        <v>7</v>
      </c>
      <c r="F59" s="53">
        <v>590</v>
      </c>
      <c r="G59" s="53">
        <v>4</v>
      </c>
      <c r="H59" s="6">
        <f t="shared" si="3"/>
        <v>20</v>
      </c>
      <c r="I59" s="6">
        <f t="shared" si="5"/>
        <v>1.7751919999999999</v>
      </c>
    </row>
    <row r="60" spans="2:12" x14ac:dyDescent="0.25">
      <c r="B60" s="6" t="s">
        <v>60</v>
      </c>
      <c r="C60" s="53">
        <v>19</v>
      </c>
      <c r="D60" s="53" t="s">
        <v>13</v>
      </c>
      <c r="E60" s="53" t="s">
        <v>7</v>
      </c>
      <c r="F60" s="53">
        <v>600</v>
      </c>
      <c r="G60" s="53">
        <v>4</v>
      </c>
      <c r="H60" s="6">
        <f t="shared" si="3"/>
        <v>76</v>
      </c>
      <c r="I60" s="6">
        <f t="shared" si="5"/>
        <v>6.8600639999999995</v>
      </c>
      <c r="L60" s="6"/>
    </row>
    <row r="61" spans="2:12" x14ac:dyDescent="0.25">
      <c r="B61" s="6" t="s">
        <v>60</v>
      </c>
      <c r="C61" s="53">
        <v>2</v>
      </c>
      <c r="D61" s="53" t="s">
        <v>13</v>
      </c>
      <c r="E61" s="53" t="s">
        <v>7</v>
      </c>
      <c r="F61" s="53">
        <v>710</v>
      </c>
      <c r="G61" s="53">
        <v>5</v>
      </c>
      <c r="H61" s="6">
        <f t="shared" si="3"/>
        <v>10</v>
      </c>
      <c r="I61" s="6">
        <f t="shared" si="5"/>
        <v>0.8544991999999999</v>
      </c>
    </row>
    <row r="62" spans="2:12" x14ac:dyDescent="0.25">
      <c r="B62" s="6" t="s">
        <v>60</v>
      </c>
      <c r="C62" s="53">
        <v>2</v>
      </c>
      <c r="D62" s="53" t="s">
        <v>13</v>
      </c>
      <c r="E62" s="53" t="s">
        <v>7</v>
      </c>
      <c r="F62" s="53">
        <v>720</v>
      </c>
      <c r="G62" s="53">
        <v>5</v>
      </c>
      <c r="H62" s="6">
        <f t="shared" si="3"/>
        <v>10</v>
      </c>
      <c r="I62" s="6">
        <f t="shared" si="5"/>
        <v>0.86653439999999993</v>
      </c>
    </row>
    <row r="63" spans="2:12" x14ac:dyDescent="0.25">
      <c r="B63" s="6" t="s">
        <v>50</v>
      </c>
      <c r="C63" s="44">
        <v>12</v>
      </c>
      <c r="D63" s="44" t="s">
        <v>14</v>
      </c>
      <c r="E63" s="44" t="s">
        <v>7</v>
      </c>
      <c r="F63" s="44">
        <v>200</v>
      </c>
      <c r="G63" s="44">
        <v>1</v>
      </c>
      <c r="H63" s="6">
        <f t="shared" si="3"/>
        <v>12</v>
      </c>
      <c r="I63" s="6">
        <f t="shared" ref="I63:I72" si="6">(0.15+0.075+0.02+0.075+0.02+0.002+0.002+0.071+0.071+0.018+0.018+0.146)*(F63/1000)*C63</f>
        <v>1.6032000000000002</v>
      </c>
    </row>
    <row r="64" spans="2:12" x14ac:dyDescent="0.25">
      <c r="B64" s="6" t="s">
        <v>49</v>
      </c>
      <c r="C64" s="42">
        <v>12</v>
      </c>
      <c r="D64" s="42" t="s">
        <v>14</v>
      </c>
      <c r="E64" s="42" t="s">
        <v>7</v>
      </c>
      <c r="F64" s="42">
        <v>400</v>
      </c>
      <c r="G64" s="42">
        <v>2</v>
      </c>
      <c r="H64" s="6">
        <f t="shared" si="3"/>
        <v>24</v>
      </c>
      <c r="I64" s="6">
        <f t="shared" si="6"/>
        <v>3.2064000000000004</v>
      </c>
    </row>
    <row r="65" spans="2:9" x14ac:dyDescent="0.25">
      <c r="B65" s="6" t="s">
        <v>50</v>
      </c>
      <c r="C65" s="44">
        <v>6</v>
      </c>
      <c r="D65" s="44" t="s">
        <v>14</v>
      </c>
      <c r="E65" s="44" t="s">
        <v>7</v>
      </c>
      <c r="F65" s="44">
        <v>490</v>
      </c>
      <c r="G65" s="44">
        <v>3</v>
      </c>
      <c r="H65" s="6">
        <f t="shared" si="3"/>
        <v>18</v>
      </c>
      <c r="I65" s="6">
        <f t="shared" si="6"/>
        <v>1.9639199999999999</v>
      </c>
    </row>
    <row r="66" spans="2:9" x14ac:dyDescent="0.25">
      <c r="B66" s="6" t="s">
        <v>50</v>
      </c>
      <c r="C66" s="44">
        <v>6</v>
      </c>
      <c r="D66" s="44" t="s">
        <v>14</v>
      </c>
      <c r="E66" s="44" t="s">
        <v>7</v>
      </c>
      <c r="F66" s="44">
        <v>1500</v>
      </c>
      <c r="G66" s="44">
        <v>8</v>
      </c>
      <c r="H66" s="6">
        <f t="shared" si="3"/>
        <v>48</v>
      </c>
      <c r="I66" s="6">
        <f t="shared" si="6"/>
        <v>6.0120000000000005</v>
      </c>
    </row>
    <row r="67" spans="2:9" x14ac:dyDescent="0.25">
      <c r="B67" s="6" t="s">
        <v>50</v>
      </c>
      <c r="C67" s="44">
        <v>6</v>
      </c>
      <c r="D67" s="44" t="s">
        <v>14</v>
      </c>
      <c r="E67" s="44" t="s">
        <v>7</v>
      </c>
      <c r="F67" s="44">
        <v>1980</v>
      </c>
      <c r="G67" s="44">
        <v>10</v>
      </c>
      <c r="H67" s="6">
        <f t="shared" si="3"/>
        <v>60</v>
      </c>
      <c r="I67" s="6">
        <f t="shared" si="6"/>
        <v>7.9358400000000007</v>
      </c>
    </row>
    <row r="68" spans="2:9" x14ac:dyDescent="0.25">
      <c r="B68" s="6" t="s">
        <v>50</v>
      </c>
      <c r="C68" s="44">
        <v>2</v>
      </c>
      <c r="D68" s="44" t="s">
        <v>14</v>
      </c>
      <c r="E68" s="44" t="s">
        <v>7</v>
      </c>
      <c r="F68" s="44">
        <v>3900</v>
      </c>
      <c r="G68" s="44">
        <v>20</v>
      </c>
      <c r="H68" s="6">
        <f t="shared" si="3"/>
        <v>40</v>
      </c>
      <c r="I68" s="6">
        <f t="shared" si="6"/>
        <v>5.2103999999999999</v>
      </c>
    </row>
    <row r="69" spans="2:9" x14ac:dyDescent="0.25">
      <c r="B69" s="6" t="s">
        <v>50</v>
      </c>
      <c r="C69" s="44">
        <v>2</v>
      </c>
      <c r="D69" s="44" t="s">
        <v>14</v>
      </c>
      <c r="E69" s="44" t="s">
        <v>7</v>
      </c>
      <c r="F69" s="44">
        <v>4000</v>
      </c>
      <c r="G69" s="44">
        <v>21</v>
      </c>
      <c r="H69" s="6">
        <f t="shared" si="3"/>
        <v>42</v>
      </c>
      <c r="I69" s="6">
        <f t="shared" si="6"/>
        <v>5.3440000000000003</v>
      </c>
    </row>
    <row r="70" spans="2:9" x14ac:dyDescent="0.25">
      <c r="B70" s="6" t="s">
        <v>50</v>
      </c>
      <c r="C70" s="44">
        <v>2</v>
      </c>
      <c r="D70" s="44" t="s">
        <v>14</v>
      </c>
      <c r="E70" s="44" t="s">
        <v>7</v>
      </c>
      <c r="F70" s="44">
        <v>4050</v>
      </c>
      <c r="G70" s="44">
        <v>21</v>
      </c>
      <c r="H70" s="6">
        <f t="shared" si="3"/>
        <v>42</v>
      </c>
      <c r="I70" s="6">
        <f t="shared" si="6"/>
        <v>5.4108000000000001</v>
      </c>
    </row>
    <row r="71" spans="2:9" x14ac:dyDescent="0.25">
      <c r="B71" s="6" t="s">
        <v>50</v>
      </c>
      <c r="C71" s="44">
        <v>10</v>
      </c>
      <c r="D71" s="44" t="s">
        <v>14</v>
      </c>
      <c r="E71" s="44" t="s">
        <v>7</v>
      </c>
      <c r="F71" s="44">
        <v>4080</v>
      </c>
      <c r="G71" s="44">
        <v>21</v>
      </c>
      <c r="H71" s="6">
        <f t="shared" si="3"/>
        <v>210</v>
      </c>
      <c r="I71" s="6">
        <f t="shared" si="6"/>
        <v>27.254400000000004</v>
      </c>
    </row>
    <row r="72" spans="2:9" x14ac:dyDescent="0.25">
      <c r="B72" s="6" t="s">
        <v>50</v>
      </c>
      <c r="C72" s="44">
        <v>4</v>
      </c>
      <c r="D72" s="44" t="s">
        <v>14</v>
      </c>
      <c r="E72" s="44" t="s">
        <v>7</v>
      </c>
      <c r="F72" s="44">
        <v>8000</v>
      </c>
      <c r="G72" s="44">
        <v>42</v>
      </c>
      <c r="H72" s="6">
        <f t="shared" si="3"/>
        <v>168</v>
      </c>
      <c r="I72" s="6">
        <f t="shared" si="6"/>
        <v>21.376000000000001</v>
      </c>
    </row>
    <row r="73" spans="2:9" x14ac:dyDescent="0.25">
      <c r="B73" s="6" t="s">
        <v>49</v>
      </c>
      <c r="C73" s="42">
        <v>12</v>
      </c>
      <c r="D73" s="42" t="s">
        <v>15</v>
      </c>
      <c r="E73" s="42" t="s">
        <v>7</v>
      </c>
      <c r="F73" s="42">
        <v>3050</v>
      </c>
      <c r="G73" s="42">
        <v>24</v>
      </c>
      <c r="H73" s="6">
        <f t="shared" ref="H73" si="7">G73*C73</f>
        <v>288</v>
      </c>
      <c r="I73" s="6">
        <f>(0.15+0.075+0.02+0.075+0.02+0.00304+0.00304+0.06892+0.06892+0.01696+0.01696+0.14392)*(F73/1000)*C73</f>
        <v>24.220415999999997</v>
      </c>
    </row>
    <row r="75" spans="2:9" x14ac:dyDescent="0.25">
      <c r="D75" s="2"/>
      <c r="E75" s="3"/>
      <c r="F75" s="3"/>
      <c r="G75" s="4"/>
      <c r="H75" s="6">
        <f>SUM(H9:H73)</f>
        <v>4613</v>
      </c>
      <c r="I75" s="6">
        <f>SUM(I9:I73)</f>
        <v>397.74785687481005</v>
      </c>
    </row>
    <row r="76" spans="2:9" x14ac:dyDescent="0.25">
      <c r="D76" s="6"/>
      <c r="E76" s="6"/>
      <c r="F76" s="6"/>
      <c r="G76" s="6"/>
      <c r="H76" s="6"/>
    </row>
    <row r="77" spans="2:9" x14ac:dyDescent="0.25">
      <c r="D77" s="2" t="s">
        <v>16</v>
      </c>
      <c r="E77" s="3"/>
      <c r="F77" s="3"/>
      <c r="G77" s="4">
        <f>G75+H75</f>
        <v>4613</v>
      </c>
      <c r="H77" s="6"/>
    </row>
    <row r="79" spans="2:9" x14ac:dyDescent="0.25">
      <c r="C79" s="6"/>
      <c r="D79" s="6"/>
      <c r="E79" s="6"/>
      <c r="F79" s="6" t="s">
        <v>61</v>
      </c>
      <c r="G79" s="6" t="s">
        <v>62</v>
      </c>
    </row>
    <row r="80" spans="2:9" x14ac:dyDescent="0.25">
      <c r="C80" s="6" t="s">
        <v>66</v>
      </c>
      <c r="D80" s="6"/>
      <c r="E80" s="6"/>
      <c r="F80" s="6">
        <f>SUMIF($B$9:$B$73,"CONT",$H$9:$H$73)</f>
        <v>90</v>
      </c>
      <c r="G80" s="6">
        <f>SUMIF($B$9:$B$73,"CONT",$I$9:$I$73)</f>
        <v>4.3299000748101326</v>
      </c>
    </row>
    <row r="81" spans="3:11" x14ac:dyDescent="0.25">
      <c r="C81" s="6" t="s">
        <v>67</v>
      </c>
      <c r="D81" s="6"/>
      <c r="E81" s="6"/>
      <c r="F81" s="6">
        <f>SUMIF($B$9:$B$73,"CONTC",$H$9:$H$73)</f>
        <v>132</v>
      </c>
      <c r="G81" s="6">
        <f>SUMIF($B$9:$B$73,"CONTC",$I$9:$I$73)</f>
        <v>11.901120000000002</v>
      </c>
    </row>
    <row r="82" spans="3:11" x14ac:dyDescent="0.25">
      <c r="C82" s="6" t="s">
        <v>56</v>
      </c>
      <c r="D82" s="6"/>
      <c r="E82" s="6"/>
      <c r="F82" s="6">
        <f>SUMIF($B$9:$B$73,"TRELICA",$H$9:$H$73)</f>
        <v>2269</v>
      </c>
      <c r="G82" s="6">
        <f>SUMIF($B$9:$B$73,"TRELICA",$I$9:$I$73)</f>
        <v>158.14744880000001</v>
      </c>
    </row>
    <row r="83" spans="3:11" x14ac:dyDescent="0.25">
      <c r="C83" s="6" t="s">
        <v>49</v>
      </c>
      <c r="D83" s="6"/>
      <c r="E83" s="6"/>
      <c r="F83" s="6">
        <f>SUMIF($B$9:$B$73,"PILAR",$H$9:$H$73)</f>
        <v>312</v>
      </c>
      <c r="G83" s="6">
        <f>SUMIF($B$9:$B$73,"PILAR",$I$9:$I$73)</f>
        <v>27.426815999999995</v>
      </c>
    </row>
    <row r="84" spans="3:11" x14ac:dyDescent="0.25">
      <c r="C84" s="6" t="s">
        <v>50</v>
      </c>
      <c r="D84" s="6"/>
      <c r="E84" s="6"/>
      <c r="F84" s="6">
        <f>SUMIF($B$9:$B$73,"VIGA",$H$9:$H$73)</f>
        <v>640</v>
      </c>
      <c r="G84" s="6">
        <f>SUMIF($B$9:$B$73,"VIGA",$I$9:$I$73)</f>
        <v>82.110560000000007</v>
      </c>
    </row>
    <row r="85" spans="3:11" x14ac:dyDescent="0.25">
      <c r="C85" s="6" t="s">
        <v>51</v>
      </c>
      <c r="D85" s="6"/>
      <c r="E85" s="6"/>
      <c r="F85" s="6">
        <f>SUMIF($B$9:$B$73,"TRAMA",$H$9:$H$73)</f>
        <v>1170</v>
      </c>
      <c r="G85" s="6">
        <f>SUMIF($B$10:$B$73,"TRAMA",$I$10:$I$73)</f>
        <v>113.83201199999999</v>
      </c>
    </row>
    <row r="87" spans="3:11" ht="15.75" thickBot="1" x14ac:dyDescent="0.3"/>
    <row r="88" spans="3:11" ht="15.75" thickBot="1" x14ac:dyDescent="0.3">
      <c r="D88" s="11" t="s">
        <v>18</v>
      </c>
      <c r="E88" s="12"/>
      <c r="F88" s="12"/>
      <c r="G88" s="13"/>
      <c r="H88" s="6"/>
      <c r="I88" s="6"/>
      <c r="J88" s="6"/>
      <c r="K88" s="6"/>
    </row>
    <row r="89" spans="3:11" x14ac:dyDescent="0.25">
      <c r="D89" s="10" t="s">
        <v>20</v>
      </c>
      <c r="E89" s="10" t="s">
        <v>21</v>
      </c>
      <c r="F89" s="10" t="s">
        <v>1</v>
      </c>
      <c r="G89" s="10" t="s">
        <v>22</v>
      </c>
      <c r="H89" s="6"/>
      <c r="I89" s="6"/>
      <c r="J89" s="6"/>
      <c r="K89" s="6"/>
    </row>
    <row r="90" spans="3:11" x14ac:dyDescent="0.25">
      <c r="D90" s="8" t="s">
        <v>24</v>
      </c>
      <c r="E90" s="8">
        <v>24130</v>
      </c>
      <c r="F90" s="8">
        <v>1</v>
      </c>
      <c r="G90" s="9">
        <f>(H90+I90+I90)*J90*E90*7850*F90/1000000000</f>
        <v>107.969685</v>
      </c>
      <c r="H90" s="6">
        <v>300</v>
      </c>
      <c r="I90" s="6">
        <v>150</v>
      </c>
      <c r="J90" s="6">
        <v>0.95</v>
      </c>
    </row>
    <row r="91" spans="3:11" x14ac:dyDescent="0.25">
      <c r="D91" s="8" t="s">
        <v>28</v>
      </c>
      <c r="E91" s="8">
        <v>3900</v>
      </c>
      <c r="F91" s="8">
        <v>4</v>
      </c>
      <c r="G91" s="9">
        <f>(H91+I91+I91)*J91*E91*7850*F91/1000000000</f>
        <v>87.252750000000006</v>
      </c>
      <c r="H91" s="6">
        <v>450</v>
      </c>
      <c r="I91" s="6">
        <v>150</v>
      </c>
      <c r="J91" s="6">
        <v>0.95</v>
      </c>
    </row>
    <row r="92" spans="3:11" x14ac:dyDescent="0.25">
      <c r="D92" s="8" t="s">
        <v>28</v>
      </c>
      <c r="E92" s="8">
        <v>8240</v>
      </c>
      <c r="F92" s="8">
        <v>1</v>
      </c>
      <c r="G92" s="9">
        <f>(H92+I92+I92)*J92*E92*7850*F92/1000000000</f>
        <v>46.087350000000001</v>
      </c>
      <c r="H92" s="6">
        <v>450</v>
      </c>
      <c r="I92" s="6">
        <v>150</v>
      </c>
      <c r="J92" s="6">
        <v>0.95</v>
      </c>
    </row>
    <row r="93" spans="3:11" x14ac:dyDescent="0.25">
      <c r="D93" s="8" t="s">
        <v>28</v>
      </c>
      <c r="E93" s="8">
        <v>23680</v>
      </c>
      <c r="F93" s="8">
        <v>1</v>
      </c>
      <c r="G93" s="9">
        <f>(H93+I93+I93)*J93*E93*7850*F93/1000000000</f>
        <v>132.4452</v>
      </c>
      <c r="H93" s="6">
        <v>450</v>
      </c>
      <c r="I93" s="6">
        <v>150</v>
      </c>
      <c r="J93" s="6">
        <v>0.95</v>
      </c>
    </row>
    <row r="94" spans="3:11" x14ac:dyDescent="0.25">
      <c r="D94" s="6"/>
      <c r="E94" s="6"/>
      <c r="F94" s="6" t="s">
        <v>25</v>
      </c>
      <c r="G94" s="7">
        <f>SUM(G90:G93)</f>
        <v>373.75498500000003</v>
      </c>
      <c r="H94" s="6"/>
      <c r="I94" s="6"/>
      <c r="J94" s="6"/>
      <c r="K94" s="6"/>
    </row>
  </sheetData>
  <mergeCells count="1">
    <mergeCell ref="C5:G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9C36AA8A13D4696D8D661A22175F9" ma:contentTypeVersion="18" ma:contentTypeDescription="Create a new document." ma:contentTypeScope="" ma:versionID="efc00cf491a239948f0108bf8f1ead2e">
  <xsd:schema xmlns:xsd="http://www.w3.org/2001/XMLSchema" xmlns:xs="http://www.w3.org/2001/XMLSchema" xmlns:p="http://schemas.microsoft.com/office/2006/metadata/properties" xmlns:ns3="5ea28c26-d95d-407e-93ce-086b7e64b9ea" xmlns:ns4="f7fff33c-ea10-4d21-89ed-1d5228e4597c" targetNamespace="http://schemas.microsoft.com/office/2006/metadata/properties" ma:root="true" ma:fieldsID="aef0fcdd2428bd90a102614b3ea7d332" ns3:_="" ns4:_="">
    <xsd:import namespace="5ea28c26-d95d-407e-93ce-086b7e64b9ea"/>
    <xsd:import namespace="f7fff33c-ea10-4d21-89ed-1d5228e459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_activity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28c26-d95d-407e-93ce-086b7e64b9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f33c-ea10-4d21-89ed-1d5228e45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fff33c-ea10-4d21-89ed-1d5228e4597c" xsi:nil="true"/>
  </documentManagement>
</p:properties>
</file>

<file path=customXml/itemProps1.xml><?xml version="1.0" encoding="utf-8"?>
<ds:datastoreItem xmlns:ds="http://schemas.openxmlformats.org/officeDocument/2006/customXml" ds:itemID="{A8C893D1-3C15-4094-B5E2-C5C9A18C5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28c26-d95d-407e-93ce-086b7e64b9ea"/>
    <ds:schemaRef ds:uri="f7fff33c-ea10-4d21-89ed-1d5228e459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67900D-91BE-4294-8419-3AE8150262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0EBB8D-32E4-4709-BEFC-2845160C0DCC}">
  <ds:schemaRefs>
    <ds:schemaRef ds:uri="5ea28c26-d95d-407e-93ce-086b7e64b9ea"/>
    <ds:schemaRef ds:uri="http://purl.org/dc/terms/"/>
    <ds:schemaRef ds:uri="http://purl.org/dc/dcmitype/"/>
    <ds:schemaRef ds:uri="http://schemas.microsoft.com/office/2006/documentManagement/types"/>
    <ds:schemaRef ds:uri="f7fff33c-ea10-4d21-89ed-1d5228e4597c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MEMÓRIA</vt:lpstr>
      <vt:lpstr>BLOCO G</vt:lpstr>
      <vt:lpstr>BLOCO J</vt:lpstr>
      <vt:lpstr>BLOCO I</vt:lpstr>
      <vt:lpstr>BLOCO F</vt:lpstr>
      <vt:lpstr>BLOCO E</vt:lpstr>
      <vt:lpstr>BLOCO C</vt:lpstr>
      <vt:lpstr>BLOCO B</vt:lpstr>
      <vt:lpstr>BLOCO H</vt:lpstr>
      <vt:lpstr>PATIO</vt:lpstr>
      <vt:lpstr>QUADRA</vt:lpstr>
      <vt:lpstr>'BLOCO B'!Area_de_impressao</vt:lpstr>
      <vt:lpstr>'BLOCO C'!Area_de_impressao</vt:lpstr>
      <vt:lpstr>'BLOCO E'!Area_de_impressao</vt:lpstr>
      <vt:lpstr>'BLOCO F'!Area_de_impressao</vt:lpstr>
      <vt:lpstr>'BLOCO G'!Area_de_impressao</vt:lpstr>
      <vt:lpstr>'BLOCO H'!Area_de_impressao</vt:lpstr>
      <vt:lpstr>'BLOCO I'!Area_de_impressao</vt:lpstr>
      <vt:lpstr>MEMÓRIA!Area_de_impressao</vt:lpstr>
      <vt:lpstr>PATIO!Area_de_impressao</vt:lpstr>
      <vt:lpstr>QUADRA!Area_de_impressao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Frazao</dc:creator>
  <cp:lastModifiedBy>Gabriel Silveira Alencar</cp:lastModifiedBy>
  <dcterms:created xsi:type="dcterms:W3CDTF">2021-11-12T12:45:45Z</dcterms:created>
  <dcterms:modified xsi:type="dcterms:W3CDTF">2025-03-06T19:02:29Z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0x0101006219C36AA8A13D4696D8D661A22175F9</vt:lpwstr>
  </property>
</Properties>
</file>